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S:\PRODUCTOS Y SERVICIOS\AUDIENCIAS\UNIVERSOS\"/>
    </mc:Choice>
  </mc:AlternateContent>
  <xr:revisionPtr revIDLastSave="0" documentId="13_ncr:1_{DB34D305-6A85-47CC-9953-64303A2EEF99}" xr6:coauthVersionLast="47" xr6:coauthVersionMax="47" xr10:uidLastSave="{00000000-0000-0000-0000-000000000000}"/>
  <bookViews>
    <workbookView xWindow="-108" yWindow="-108" windowWidth="23256" windowHeight="12456" tabRatio="237" firstSheet="6" activeTab="6" xr2:uid="{00000000-000D-0000-FFFF-FFFF00000000}"/>
  </bookViews>
  <sheets>
    <sheet name="2013" sheetId="1" state="hidden" r:id="rId1"/>
    <sheet name="2014" sheetId="2" state="hidden" r:id="rId2"/>
    <sheet name="2015" sheetId="16" state="hidden" r:id="rId3"/>
    <sheet name="UNIV_LIMA14" sheetId="15" state="hidden" r:id="rId4"/>
    <sheet name="UNIV_CDES14" sheetId="14" state="hidden" r:id="rId5"/>
    <sheet name="2016" sheetId="21" state="hidden" r:id="rId6"/>
    <sheet name="UNIV_2025" sheetId="47" r:id="rId7"/>
    <sheet name="COMPARAR14" sheetId="10" state="hidden" r:id="rId8"/>
    <sheet name="UNI_LIM_15" sheetId="17" state="hidden" r:id="rId9"/>
    <sheet name="UNI_CDS_15" sheetId="18" state="hidden" r:id="rId10"/>
    <sheet name="SPSS_UNIVERSOS" sheetId="20" state="hidden" r:id="rId11"/>
    <sheet name="COM_2015" sheetId="19" state="hidden" r:id="rId12"/>
    <sheet name="Com_15_16" sheetId="25" state="hidden" r:id="rId13"/>
    <sheet name="Com_17_16" sheetId="29" state="hidden" r:id="rId14"/>
    <sheet name="Spss_Univer" sheetId="24" state="hidden" r:id="rId15"/>
    <sheet name="Spss_Univer_2017" sheetId="28" state="hidden" r:id="rId16"/>
    <sheet name="Uni_Lima_Cdes16" sheetId="22" state="hidden" r:id="rId17"/>
    <sheet name="Uni_Lima_Cdes17" sheetId="26" state="hidden" r:id="rId18"/>
  </sheets>
  <externalReferences>
    <externalReference r:id="rId19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" i="47" l="1"/>
  <c r="M33" i="47"/>
  <c r="L33" i="47"/>
  <c r="K33" i="47"/>
  <c r="J33" i="47"/>
  <c r="M32" i="47"/>
  <c r="L32" i="47"/>
  <c r="K32" i="47"/>
  <c r="J32" i="47"/>
  <c r="M31" i="47"/>
  <c r="L31" i="47"/>
  <c r="K31" i="47"/>
  <c r="J31" i="47"/>
  <c r="M28" i="47"/>
  <c r="L28" i="47"/>
  <c r="K28" i="47"/>
  <c r="J28" i="47"/>
  <c r="M27" i="47"/>
  <c r="M26" i="47"/>
  <c r="M25" i="47"/>
  <c r="L25" i="47"/>
  <c r="K25" i="47"/>
  <c r="J25" i="47"/>
  <c r="M24" i="47"/>
  <c r="M23" i="47"/>
  <c r="M22" i="47"/>
  <c r="L22" i="47"/>
  <c r="K22" i="47"/>
  <c r="J22" i="47"/>
  <c r="M21" i="47"/>
  <c r="M20" i="47"/>
  <c r="M19" i="47"/>
  <c r="L19" i="47"/>
  <c r="K19" i="47"/>
  <c r="J19" i="47"/>
  <c r="M18" i="47"/>
  <c r="M17" i="47"/>
  <c r="M16" i="47"/>
  <c r="L16" i="47"/>
  <c r="K16" i="47"/>
  <c r="J16" i="47"/>
  <c r="M15" i="47"/>
  <c r="M14" i="47"/>
  <c r="M13" i="47"/>
  <c r="L13" i="47"/>
  <c r="K13" i="47"/>
  <c r="J13" i="47"/>
  <c r="M12" i="47"/>
  <c r="M11" i="47"/>
  <c r="M10" i="47"/>
  <c r="L10" i="47"/>
  <c r="K10" i="47"/>
  <c r="J10" i="47"/>
  <c r="M9" i="47"/>
  <c r="L9" i="47"/>
  <c r="K9" i="47"/>
  <c r="J9" i="47"/>
  <c r="M8" i="47"/>
  <c r="L8" i="47"/>
  <c r="K8" i="47"/>
  <c r="J8" i="47"/>
  <c r="M7" i="47"/>
  <c r="L7" i="47"/>
  <c r="K7" i="47"/>
  <c r="J7" i="47"/>
  <c r="M6" i="47"/>
  <c r="L6" i="47"/>
  <c r="K6" i="47"/>
  <c r="J6" i="47"/>
  <c r="M5" i="47"/>
  <c r="L5" i="47"/>
  <c r="K5" i="47"/>
  <c r="M4" i="47"/>
  <c r="L4" i="47"/>
  <c r="K4" i="47"/>
  <c r="J4" i="47"/>
  <c r="Q12" i="26" l="1"/>
  <c r="Q11" i="26"/>
  <c r="P12" i="26"/>
  <c r="Q27" i="26"/>
  <c r="Q33" i="26"/>
  <c r="Q31" i="26"/>
  <c r="P31" i="26"/>
  <c r="P30" i="26"/>
  <c r="Q30" i="26"/>
  <c r="P25" i="26"/>
  <c r="P11" i="26"/>
  <c r="Q25" i="26"/>
  <c r="M33" i="26"/>
  <c r="M30" i="26"/>
  <c r="L18" i="26"/>
  <c r="L30" i="26"/>
  <c r="L31" i="26"/>
  <c r="L34" i="26"/>
  <c r="L33" i="26"/>
  <c r="L12" i="26"/>
  <c r="L11" i="26"/>
  <c r="M12" i="26"/>
  <c r="M11" i="26"/>
  <c r="AA12" i="24"/>
  <c r="AA11" i="24"/>
  <c r="P8" i="26"/>
  <c r="P7" i="26"/>
  <c r="P28" i="26"/>
  <c r="P19" i="26"/>
  <c r="M18" i="26"/>
  <c r="M19" i="26"/>
  <c r="S25" i="26" l="1"/>
  <c r="AB12" i="24"/>
  <c r="S31" i="26"/>
  <c r="L10" i="26"/>
  <c r="P10" i="26"/>
  <c r="S12" i="26"/>
  <c r="Q10" i="26"/>
  <c r="S30" i="26"/>
  <c r="S11" i="26"/>
  <c r="M10" i="26"/>
  <c r="T10" i="26" l="1"/>
  <c r="S13" i="26"/>
  <c r="C12" i="26"/>
  <c r="D12" i="26"/>
  <c r="D11" i="26"/>
  <c r="C11" i="26"/>
  <c r="B12" i="26"/>
  <c r="B11" i="26"/>
  <c r="D7" i="26"/>
  <c r="B13" i="26" l="1"/>
  <c r="C10" i="26"/>
  <c r="D10" i="26"/>
  <c r="Q28" i="26"/>
  <c r="Q19" i="26"/>
  <c r="Q18" i="26"/>
  <c r="L19" i="26"/>
  <c r="N3" i="26"/>
  <c r="P3" i="26"/>
  <c r="L4" i="26"/>
  <c r="L3" i="26"/>
  <c r="Q17" i="26" l="1"/>
  <c r="L5" i="26"/>
  <c r="AE8" i="28" l="1"/>
  <c r="AD8" i="28"/>
  <c r="AC8" i="28"/>
  <c r="AB8" i="28"/>
  <c r="H6" i="24"/>
  <c r="AC9" i="28" l="1"/>
  <c r="AD9" i="28"/>
  <c r="AE9" i="28"/>
  <c r="H11" i="26"/>
  <c r="E11" i="26"/>
  <c r="F11" i="26"/>
  <c r="B7" i="26"/>
  <c r="C27" i="26"/>
  <c r="B33" i="26"/>
  <c r="B8" i="26"/>
  <c r="B9" i="26" l="1"/>
  <c r="J11" i="28" l="1"/>
  <c r="K11" i="28"/>
  <c r="I11" i="28"/>
  <c r="Q22" i="26" l="1"/>
  <c r="L21" i="26"/>
  <c r="L24" i="26"/>
  <c r="L27" i="26"/>
  <c r="P21" i="26"/>
  <c r="P24" i="26"/>
  <c r="P27" i="26"/>
  <c r="P18" i="26"/>
  <c r="P34" i="26"/>
  <c r="P33" i="26"/>
  <c r="Q24" i="26"/>
  <c r="Q34" i="26"/>
  <c r="Q21" i="26"/>
  <c r="T20" i="26"/>
  <c r="T23" i="26"/>
  <c r="T26" i="26"/>
  <c r="T29" i="26"/>
  <c r="T32" i="26"/>
  <c r="P22" i="26"/>
  <c r="P14" i="26" s="1"/>
  <c r="N11" i="26"/>
  <c r="N12" i="26"/>
  <c r="R12" i="26" s="1"/>
  <c r="N34" i="26"/>
  <c r="M34" i="26"/>
  <c r="N31" i="26"/>
  <c r="M31" i="26"/>
  <c r="N28" i="26"/>
  <c r="M28" i="26"/>
  <c r="N25" i="26"/>
  <c r="M25" i="26"/>
  <c r="N22" i="26"/>
  <c r="M22" i="26"/>
  <c r="N19" i="26"/>
  <c r="L28" i="26"/>
  <c r="N33" i="26"/>
  <c r="N30" i="26"/>
  <c r="N27" i="26"/>
  <c r="M27" i="26"/>
  <c r="N24" i="26"/>
  <c r="M24" i="26"/>
  <c r="N21" i="26"/>
  <c r="M21" i="26"/>
  <c r="N18" i="26"/>
  <c r="U22" i="26"/>
  <c r="U21" i="26"/>
  <c r="U20" i="26"/>
  <c r="U19" i="26"/>
  <c r="U18" i="26"/>
  <c r="U17" i="26"/>
  <c r="AC18" i="26"/>
  <c r="AC19" i="26"/>
  <c r="AC20" i="26"/>
  <c r="AC21" i="26"/>
  <c r="AC22" i="26"/>
  <c r="AC17" i="26"/>
  <c r="AB18" i="26"/>
  <c r="AB19" i="26"/>
  <c r="AB20" i="26"/>
  <c r="AB21" i="26"/>
  <c r="AB22" i="26"/>
  <c r="AB17" i="26"/>
  <c r="Z18" i="26"/>
  <c r="Z19" i="26"/>
  <c r="Z20" i="26"/>
  <c r="Z21" i="26"/>
  <c r="Z22" i="26"/>
  <c r="Z17" i="26"/>
  <c r="Y18" i="26"/>
  <c r="Y19" i="26"/>
  <c r="Y20" i="26"/>
  <c r="Y21" i="26"/>
  <c r="Y22" i="26"/>
  <c r="Y17" i="26"/>
  <c r="U29" i="26"/>
  <c r="V29" i="26"/>
  <c r="W29" i="26"/>
  <c r="V24" i="26"/>
  <c r="W24" i="26"/>
  <c r="V25" i="26"/>
  <c r="W25" i="26"/>
  <c r="V26" i="26"/>
  <c r="W26" i="26"/>
  <c r="V27" i="26"/>
  <c r="W27" i="26"/>
  <c r="V28" i="26"/>
  <c r="W28" i="26"/>
  <c r="U25" i="26"/>
  <c r="U26" i="26"/>
  <c r="U27" i="26"/>
  <c r="U28" i="26"/>
  <c r="U24" i="26"/>
  <c r="V17" i="26"/>
  <c r="W17" i="26"/>
  <c r="V18" i="26"/>
  <c r="W18" i="26"/>
  <c r="V19" i="26"/>
  <c r="W19" i="26"/>
  <c r="V20" i="26"/>
  <c r="W20" i="26"/>
  <c r="V21" i="26"/>
  <c r="W21" i="26"/>
  <c r="V22" i="26"/>
  <c r="W22" i="26"/>
  <c r="Q7" i="26"/>
  <c r="R7" i="26" s="1"/>
  <c r="P20" i="26" l="1"/>
  <c r="L15" i="26"/>
  <c r="M14" i="26"/>
  <c r="R13" i="26"/>
  <c r="S33" i="26"/>
  <c r="R31" i="26"/>
  <c r="R30" i="26"/>
  <c r="M15" i="26"/>
  <c r="R11" i="26"/>
  <c r="T11" i="26" s="1"/>
  <c r="T12" i="26"/>
  <c r="P15" i="26"/>
  <c r="R19" i="26"/>
  <c r="O34" i="26"/>
  <c r="R17" i="26"/>
  <c r="Q14" i="26"/>
  <c r="S22" i="26"/>
  <c r="S28" i="26"/>
  <c r="S17" i="26"/>
  <c r="S21" i="26"/>
  <c r="S19" i="26"/>
  <c r="O24" i="26"/>
  <c r="O28" i="26"/>
  <c r="O21" i="26"/>
  <c r="O19" i="26"/>
  <c r="O27" i="26"/>
  <c r="P17" i="26"/>
  <c r="O33" i="26"/>
  <c r="Q15" i="26"/>
  <c r="O30" i="26"/>
  <c r="L17" i="26"/>
  <c r="O18" i="26"/>
  <c r="C13" i="26"/>
  <c r="B10" i="26"/>
  <c r="S24" i="26"/>
  <c r="R18" i="26"/>
  <c r="R24" i="26"/>
  <c r="R21" i="26"/>
  <c r="S18" i="26"/>
  <c r="D27" i="26"/>
  <c r="F16" i="26"/>
  <c r="H18" i="26"/>
  <c r="H19" i="26"/>
  <c r="H20" i="26"/>
  <c r="H21" i="26"/>
  <c r="H22" i="26"/>
  <c r="H23" i="26"/>
  <c r="G18" i="26"/>
  <c r="G19" i="26"/>
  <c r="G20" i="26"/>
  <c r="G21" i="26"/>
  <c r="G22" i="26"/>
  <c r="G23" i="26"/>
  <c r="F19" i="26"/>
  <c r="F20" i="26"/>
  <c r="F21" i="26"/>
  <c r="F22" i="26"/>
  <c r="F23" i="26"/>
  <c r="F18" i="26"/>
  <c r="F15" i="26"/>
  <c r="F14" i="26"/>
  <c r="F8" i="26"/>
  <c r="F7" i="26"/>
  <c r="B3" i="26"/>
  <c r="G24" i="26" l="1"/>
  <c r="F24" i="26"/>
  <c r="S14" i="26"/>
  <c r="S15" i="26"/>
  <c r="T19" i="26"/>
  <c r="H24" i="26"/>
  <c r="M13" i="26"/>
  <c r="T14" i="26"/>
  <c r="O17" i="26"/>
  <c r="Q13" i="26"/>
  <c r="Q16" i="26" s="1"/>
  <c r="S10" i="26"/>
  <c r="O26" i="26"/>
  <c r="O32" i="26"/>
  <c r="T24" i="26"/>
  <c r="T21" i="26"/>
  <c r="T18" i="26"/>
  <c r="T17" i="26"/>
  <c r="P13" i="26"/>
  <c r="P16" i="26" s="1"/>
  <c r="O32" i="29"/>
  <c r="AE32" i="29" s="1"/>
  <c r="N32" i="29"/>
  <c r="AD32" i="29" s="1"/>
  <c r="O31" i="29"/>
  <c r="AE31" i="29" s="1"/>
  <c r="N31" i="29"/>
  <c r="AD31" i="29" s="1"/>
  <c r="O30" i="29"/>
  <c r="AE30" i="29" s="1"/>
  <c r="N30" i="29"/>
  <c r="AD30" i="29" s="1"/>
  <c r="O29" i="29"/>
  <c r="AE29" i="29" s="1"/>
  <c r="N29" i="29"/>
  <c r="AD29" i="29" s="1"/>
  <c r="M29" i="29"/>
  <c r="AC29" i="29" s="1"/>
  <c r="L29" i="29"/>
  <c r="AB29" i="29" s="1"/>
  <c r="K29" i="29"/>
  <c r="AA29" i="29" s="1"/>
  <c r="J29" i="29"/>
  <c r="Z29" i="29" s="1"/>
  <c r="I29" i="29"/>
  <c r="Y29" i="29" s="1"/>
  <c r="H29" i="29"/>
  <c r="X29" i="29" s="1"/>
  <c r="G29" i="29"/>
  <c r="W29" i="29" s="1"/>
  <c r="F29" i="29"/>
  <c r="V29" i="29" s="1"/>
  <c r="E29" i="29"/>
  <c r="U29" i="29" s="1"/>
  <c r="D29" i="29"/>
  <c r="T29" i="29" s="1"/>
  <c r="C29" i="29"/>
  <c r="S29" i="29" s="1"/>
  <c r="B29" i="29"/>
  <c r="R29" i="29" s="1"/>
  <c r="O26" i="29"/>
  <c r="AE26" i="29" s="1"/>
  <c r="N26" i="29"/>
  <c r="AD26" i="29" s="1"/>
  <c r="M26" i="29"/>
  <c r="AC26" i="29" s="1"/>
  <c r="L26" i="29"/>
  <c r="AB26" i="29" s="1"/>
  <c r="K26" i="29"/>
  <c r="AA26" i="29" s="1"/>
  <c r="J26" i="29"/>
  <c r="Z26" i="29" s="1"/>
  <c r="I26" i="29"/>
  <c r="Y26" i="29" s="1"/>
  <c r="H26" i="29"/>
  <c r="X26" i="29" s="1"/>
  <c r="G26" i="29"/>
  <c r="W26" i="29" s="1"/>
  <c r="F26" i="29"/>
  <c r="V26" i="29" s="1"/>
  <c r="O25" i="29"/>
  <c r="AE25" i="29" s="1"/>
  <c r="N25" i="29"/>
  <c r="AD25" i="29" s="1"/>
  <c r="M25" i="29"/>
  <c r="AC25" i="29" s="1"/>
  <c r="L25" i="29"/>
  <c r="AB25" i="29" s="1"/>
  <c r="K25" i="29"/>
  <c r="AA25" i="29" s="1"/>
  <c r="J25" i="29"/>
  <c r="Z25" i="29" s="1"/>
  <c r="I25" i="29"/>
  <c r="Y25" i="29" s="1"/>
  <c r="H25" i="29"/>
  <c r="X25" i="29" s="1"/>
  <c r="G25" i="29"/>
  <c r="W25" i="29" s="1"/>
  <c r="F25" i="29"/>
  <c r="V25" i="29" s="1"/>
  <c r="O24" i="29"/>
  <c r="AE24" i="29" s="1"/>
  <c r="N24" i="29"/>
  <c r="AD24" i="29" s="1"/>
  <c r="O23" i="29"/>
  <c r="AE23" i="29" s="1"/>
  <c r="N23" i="29"/>
  <c r="AD23" i="29" s="1"/>
  <c r="M23" i="29"/>
  <c r="AC23" i="29" s="1"/>
  <c r="L23" i="29"/>
  <c r="AB23" i="29" s="1"/>
  <c r="K23" i="29"/>
  <c r="AA23" i="29" s="1"/>
  <c r="J23" i="29"/>
  <c r="Z23" i="29" s="1"/>
  <c r="I23" i="29"/>
  <c r="Y23" i="29" s="1"/>
  <c r="H23" i="29"/>
  <c r="X23" i="29" s="1"/>
  <c r="G23" i="29"/>
  <c r="W23" i="29" s="1"/>
  <c r="F23" i="29"/>
  <c r="V23" i="29" s="1"/>
  <c r="O22" i="29"/>
  <c r="AE22" i="29" s="1"/>
  <c r="N22" i="29"/>
  <c r="AD22" i="29" s="1"/>
  <c r="M22" i="29"/>
  <c r="AC22" i="29" s="1"/>
  <c r="L22" i="29"/>
  <c r="AB22" i="29" s="1"/>
  <c r="K22" i="29"/>
  <c r="AA22" i="29" s="1"/>
  <c r="J22" i="29"/>
  <c r="Z22" i="29" s="1"/>
  <c r="I22" i="29"/>
  <c r="Y22" i="29" s="1"/>
  <c r="H22" i="29"/>
  <c r="X22" i="29" s="1"/>
  <c r="G22" i="29"/>
  <c r="W22" i="29" s="1"/>
  <c r="F22" i="29"/>
  <c r="V22" i="29" s="1"/>
  <c r="O21" i="29"/>
  <c r="AE21" i="29" s="1"/>
  <c r="N21" i="29"/>
  <c r="AD21" i="29" s="1"/>
  <c r="O20" i="29"/>
  <c r="AE20" i="29" s="1"/>
  <c r="N20" i="29"/>
  <c r="AD20" i="29" s="1"/>
  <c r="M20" i="29"/>
  <c r="AC20" i="29" s="1"/>
  <c r="L20" i="29"/>
  <c r="AB20" i="29" s="1"/>
  <c r="K20" i="29"/>
  <c r="AA20" i="29" s="1"/>
  <c r="J20" i="29"/>
  <c r="Z20" i="29" s="1"/>
  <c r="I20" i="29"/>
  <c r="Y20" i="29" s="1"/>
  <c r="H20" i="29"/>
  <c r="X20" i="29" s="1"/>
  <c r="G20" i="29"/>
  <c r="W20" i="29" s="1"/>
  <c r="F20" i="29"/>
  <c r="V20" i="29" s="1"/>
  <c r="O19" i="29"/>
  <c r="AE19" i="29" s="1"/>
  <c r="N19" i="29"/>
  <c r="AD19" i="29" s="1"/>
  <c r="M19" i="29"/>
  <c r="AC19" i="29" s="1"/>
  <c r="L19" i="29"/>
  <c r="AB19" i="29" s="1"/>
  <c r="K19" i="29"/>
  <c r="AA19" i="29" s="1"/>
  <c r="J19" i="29"/>
  <c r="Z19" i="29" s="1"/>
  <c r="I19" i="29"/>
  <c r="Y19" i="29" s="1"/>
  <c r="H19" i="29"/>
  <c r="X19" i="29" s="1"/>
  <c r="G19" i="29"/>
  <c r="W19" i="29" s="1"/>
  <c r="F19" i="29"/>
  <c r="V19" i="29" s="1"/>
  <c r="O18" i="29"/>
  <c r="AE18" i="29" s="1"/>
  <c r="N18" i="29"/>
  <c r="AD18" i="29" s="1"/>
  <c r="O17" i="29"/>
  <c r="AE17" i="29" s="1"/>
  <c r="N17" i="29"/>
  <c r="AD17" i="29" s="1"/>
  <c r="M17" i="29"/>
  <c r="AC17" i="29" s="1"/>
  <c r="L17" i="29"/>
  <c r="AB17" i="29" s="1"/>
  <c r="K17" i="29"/>
  <c r="AA17" i="29" s="1"/>
  <c r="J17" i="29"/>
  <c r="Z17" i="29" s="1"/>
  <c r="I17" i="29"/>
  <c r="Y17" i="29" s="1"/>
  <c r="H17" i="29"/>
  <c r="X17" i="29" s="1"/>
  <c r="G17" i="29"/>
  <c r="W17" i="29" s="1"/>
  <c r="F17" i="29"/>
  <c r="V17" i="29" s="1"/>
  <c r="O16" i="29"/>
  <c r="AE16" i="29" s="1"/>
  <c r="N16" i="29"/>
  <c r="AD16" i="29" s="1"/>
  <c r="M16" i="29"/>
  <c r="AC16" i="29" s="1"/>
  <c r="L16" i="29"/>
  <c r="AB16" i="29" s="1"/>
  <c r="K16" i="29"/>
  <c r="AA16" i="29" s="1"/>
  <c r="J16" i="29"/>
  <c r="Z16" i="29" s="1"/>
  <c r="I16" i="29"/>
  <c r="Y16" i="29" s="1"/>
  <c r="H16" i="29"/>
  <c r="X16" i="29" s="1"/>
  <c r="G16" i="29"/>
  <c r="W16" i="29" s="1"/>
  <c r="F16" i="29"/>
  <c r="V16" i="29" s="1"/>
  <c r="O15" i="29"/>
  <c r="AE15" i="29" s="1"/>
  <c r="N15" i="29"/>
  <c r="AD15" i="29" s="1"/>
  <c r="O14" i="29"/>
  <c r="AE14" i="29" s="1"/>
  <c r="N14" i="29"/>
  <c r="AD14" i="29" s="1"/>
  <c r="M14" i="29"/>
  <c r="AC14" i="29" s="1"/>
  <c r="L14" i="29"/>
  <c r="AB14" i="29" s="1"/>
  <c r="K14" i="29"/>
  <c r="AA14" i="29" s="1"/>
  <c r="J14" i="29"/>
  <c r="Z14" i="29" s="1"/>
  <c r="I14" i="29"/>
  <c r="Y14" i="29" s="1"/>
  <c r="H14" i="29"/>
  <c r="X14" i="29" s="1"/>
  <c r="G14" i="29"/>
  <c r="W14" i="29" s="1"/>
  <c r="F14" i="29"/>
  <c r="V14" i="29" s="1"/>
  <c r="O13" i="29"/>
  <c r="AE13" i="29" s="1"/>
  <c r="N13" i="29"/>
  <c r="AD13" i="29" s="1"/>
  <c r="M13" i="29"/>
  <c r="AC13" i="29" s="1"/>
  <c r="L13" i="29"/>
  <c r="AB13" i="29" s="1"/>
  <c r="K13" i="29"/>
  <c r="AA13" i="29" s="1"/>
  <c r="J13" i="29"/>
  <c r="Z13" i="29" s="1"/>
  <c r="I13" i="29"/>
  <c r="Y13" i="29" s="1"/>
  <c r="H13" i="29"/>
  <c r="X13" i="29" s="1"/>
  <c r="G13" i="29"/>
  <c r="W13" i="29" s="1"/>
  <c r="F13" i="29"/>
  <c r="V13" i="29" s="1"/>
  <c r="O12" i="29"/>
  <c r="AE12" i="29" s="1"/>
  <c r="N12" i="29"/>
  <c r="AD12" i="29" s="1"/>
  <c r="O11" i="29"/>
  <c r="AE11" i="29" s="1"/>
  <c r="N11" i="29"/>
  <c r="AD11" i="29" s="1"/>
  <c r="M11" i="29"/>
  <c r="AC11" i="29" s="1"/>
  <c r="L11" i="29"/>
  <c r="AB11" i="29" s="1"/>
  <c r="K11" i="29"/>
  <c r="AA11" i="29" s="1"/>
  <c r="J11" i="29"/>
  <c r="Z11" i="29" s="1"/>
  <c r="I11" i="29"/>
  <c r="Y11" i="29" s="1"/>
  <c r="H11" i="29"/>
  <c r="X11" i="29" s="1"/>
  <c r="G11" i="29"/>
  <c r="W11" i="29" s="1"/>
  <c r="F11" i="29"/>
  <c r="V11" i="29" s="1"/>
  <c r="O10" i="29"/>
  <c r="AE10" i="29" s="1"/>
  <c r="N10" i="29"/>
  <c r="AD10" i="29" s="1"/>
  <c r="M10" i="29"/>
  <c r="AC10" i="29" s="1"/>
  <c r="L10" i="29"/>
  <c r="AB10" i="29" s="1"/>
  <c r="K10" i="29"/>
  <c r="AA10" i="29" s="1"/>
  <c r="J10" i="29"/>
  <c r="Z10" i="29" s="1"/>
  <c r="I10" i="29"/>
  <c r="Y10" i="29" s="1"/>
  <c r="H10" i="29"/>
  <c r="X10" i="29" s="1"/>
  <c r="G10" i="29"/>
  <c r="W10" i="29" s="1"/>
  <c r="F10" i="29"/>
  <c r="V10" i="29" s="1"/>
  <c r="O9" i="29"/>
  <c r="AE9" i="29" s="1"/>
  <c r="N9" i="29"/>
  <c r="AD9" i="29" s="1"/>
  <c r="O6" i="29"/>
  <c r="AE6" i="29" s="1"/>
  <c r="N6" i="29"/>
  <c r="AD6" i="29" s="1"/>
  <c r="L6" i="29"/>
  <c r="AB6" i="29" s="1"/>
  <c r="K6" i="29"/>
  <c r="AA6" i="29" s="1"/>
  <c r="J6" i="29"/>
  <c r="Z6" i="29" s="1"/>
  <c r="H6" i="29"/>
  <c r="X6" i="29" s="1"/>
  <c r="G6" i="29"/>
  <c r="W6" i="29" s="1"/>
  <c r="F6" i="29"/>
  <c r="V6" i="29" s="1"/>
  <c r="O4" i="29"/>
  <c r="AE4" i="29" s="1"/>
  <c r="N4" i="29"/>
  <c r="AD4" i="29" s="1"/>
  <c r="O32" i="25"/>
  <c r="AE32" i="25" s="1"/>
  <c r="N32" i="25"/>
  <c r="AD32" i="25" s="1"/>
  <c r="O31" i="25"/>
  <c r="AE31" i="25" s="1"/>
  <c r="N31" i="25"/>
  <c r="AD31" i="25" s="1"/>
  <c r="O30" i="25"/>
  <c r="AE30" i="25" s="1"/>
  <c r="N30" i="25"/>
  <c r="AD30" i="25" s="1"/>
  <c r="O29" i="25"/>
  <c r="AE29" i="25" s="1"/>
  <c r="N29" i="25"/>
  <c r="AD29" i="25" s="1"/>
  <c r="M29" i="25"/>
  <c r="AC29" i="25" s="1"/>
  <c r="L29" i="25"/>
  <c r="AB29" i="25" s="1"/>
  <c r="K29" i="25"/>
  <c r="AA29" i="25" s="1"/>
  <c r="J29" i="25"/>
  <c r="Z29" i="25" s="1"/>
  <c r="I29" i="25"/>
  <c r="Y29" i="25" s="1"/>
  <c r="H29" i="25"/>
  <c r="X29" i="25" s="1"/>
  <c r="G29" i="25"/>
  <c r="W29" i="25" s="1"/>
  <c r="F29" i="25"/>
  <c r="V29" i="25" s="1"/>
  <c r="E29" i="25"/>
  <c r="U29" i="25" s="1"/>
  <c r="D29" i="25"/>
  <c r="T29" i="25" s="1"/>
  <c r="C29" i="25"/>
  <c r="S29" i="25" s="1"/>
  <c r="B29" i="25"/>
  <c r="R29" i="25" s="1"/>
  <c r="O26" i="25"/>
  <c r="AE26" i="25" s="1"/>
  <c r="N26" i="25"/>
  <c r="AD26" i="25" s="1"/>
  <c r="M26" i="25"/>
  <c r="AC26" i="25" s="1"/>
  <c r="L26" i="25"/>
  <c r="AB26" i="25" s="1"/>
  <c r="K26" i="25"/>
  <c r="AA26" i="25" s="1"/>
  <c r="J26" i="25"/>
  <c r="Z26" i="25" s="1"/>
  <c r="I26" i="25"/>
  <c r="Y26" i="25" s="1"/>
  <c r="H26" i="25"/>
  <c r="X26" i="25" s="1"/>
  <c r="G26" i="25"/>
  <c r="W26" i="25" s="1"/>
  <c r="F26" i="25"/>
  <c r="V26" i="25" s="1"/>
  <c r="O25" i="25"/>
  <c r="AE25" i="25" s="1"/>
  <c r="N25" i="25"/>
  <c r="AD25" i="25" s="1"/>
  <c r="M25" i="25"/>
  <c r="AC25" i="25" s="1"/>
  <c r="L25" i="25"/>
  <c r="AB25" i="25" s="1"/>
  <c r="K25" i="25"/>
  <c r="AA25" i="25" s="1"/>
  <c r="J25" i="25"/>
  <c r="Z25" i="25" s="1"/>
  <c r="I25" i="25"/>
  <c r="Y25" i="25" s="1"/>
  <c r="H25" i="25"/>
  <c r="X25" i="25" s="1"/>
  <c r="G25" i="25"/>
  <c r="W25" i="25" s="1"/>
  <c r="F25" i="25"/>
  <c r="V25" i="25" s="1"/>
  <c r="O24" i="25"/>
  <c r="AE24" i="25" s="1"/>
  <c r="N24" i="25"/>
  <c r="AD24" i="25" s="1"/>
  <c r="O23" i="25"/>
  <c r="AE23" i="25" s="1"/>
  <c r="N23" i="25"/>
  <c r="AD23" i="25" s="1"/>
  <c r="M23" i="25"/>
  <c r="AC23" i="25" s="1"/>
  <c r="L23" i="25"/>
  <c r="AB23" i="25" s="1"/>
  <c r="K23" i="25"/>
  <c r="AA23" i="25" s="1"/>
  <c r="J23" i="25"/>
  <c r="Z23" i="25" s="1"/>
  <c r="I23" i="25"/>
  <c r="Y23" i="25" s="1"/>
  <c r="H23" i="25"/>
  <c r="X23" i="25" s="1"/>
  <c r="G23" i="25"/>
  <c r="W23" i="25" s="1"/>
  <c r="F23" i="25"/>
  <c r="V23" i="25" s="1"/>
  <c r="O22" i="25"/>
  <c r="AE22" i="25" s="1"/>
  <c r="N22" i="25"/>
  <c r="AD22" i="25" s="1"/>
  <c r="M22" i="25"/>
  <c r="AC22" i="25" s="1"/>
  <c r="L22" i="25"/>
  <c r="AB22" i="25" s="1"/>
  <c r="K22" i="25"/>
  <c r="AA22" i="25" s="1"/>
  <c r="J22" i="25"/>
  <c r="Z22" i="25" s="1"/>
  <c r="I22" i="25"/>
  <c r="Y22" i="25" s="1"/>
  <c r="H22" i="25"/>
  <c r="X22" i="25" s="1"/>
  <c r="G22" i="25"/>
  <c r="W22" i="25" s="1"/>
  <c r="F22" i="25"/>
  <c r="V22" i="25" s="1"/>
  <c r="O21" i="25"/>
  <c r="AE21" i="25" s="1"/>
  <c r="N21" i="25"/>
  <c r="AD21" i="25" s="1"/>
  <c r="O20" i="25"/>
  <c r="AE20" i="25" s="1"/>
  <c r="N20" i="25"/>
  <c r="AD20" i="25" s="1"/>
  <c r="M20" i="25"/>
  <c r="AC20" i="25" s="1"/>
  <c r="L20" i="25"/>
  <c r="AB20" i="25" s="1"/>
  <c r="K20" i="25"/>
  <c r="AA20" i="25" s="1"/>
  <c r="J20" i="25"/>
  <c r="Z20" i="25" s="1"/>
  <c r="I20" i="25"/>
  <c r="Y20" i="25" s="1"/>
  <c r="H20" i="25"/>
  <c r="X20" i="25" s="1"/>
  <c r="G20" i="25"/>
  <c r="W20" i="25" s="1"/>
  <c r="F20" i="25"/>
  <c r="V20" i="25" s="1"/>
  <c r="O19" i="25"/>
  <c r="AE19" i="25" s="1"/>
  <c r="N19" i="25"/>
  <c r="AD19" i="25" s="1"/>
  <c r="M19" i="25"/>
  <c r="AC19" i="25" s="1"/>
  <c r="L19" i="25"/>
  <c r="AB19" i="25" s="1"/>
  <c r="K19" i="25"/>
  <c r="AA19" i="25" s="1"/>
  <c r="J19" i="25"/>
  <c r="Z19" i="25" s="1"/>
  <c r="I19" i="25"/>
  <c r="Y19" i="25" s="1"/>
  <c r="H19" i="25"/>
  <c r="X19" i="25" s="1"/>
  <c r="G19" i="25"/>
  <c r="W19" i="25" s="1"/>
  <c r="F19" i="25"/>
  <c r="V19" i="25" s="1"/>
  <c r="O18" i="25"/>
  <c r="AE18" i="25" s="1"/>
  <c r="N18" i="25"/>
  <c r="AD18" i="25" s="1"/>
  <c r="O17" i="25"/>
  <c r="AE17" i="25" s="1"/>
  <c r="N17" i="25"/>
  <c r="AD17" i="25" s="1"/>
  <c r="M17" i="25"/>
  <c r="AC17" i="25" s="1"/>
  <c r="L17" i="25"/>
  <c r="AB17" i="25" s="1"/>
  <c r="K17" i="25"/>
  <c r="AA17" i="25" s="1"/>
  <c r="J17" i="25"/>
  <c r="Z17" i="25" s="1"/>
  <c r="I17" i="25"/>
  <c r="Y17" i="25" s="1"/>
  <c r="H17" i="25"/>
  <c r="X17" i="25" s="1"/>
  <c r="G17" i="25"/>
  <c r="W17" i="25" s="1"/>
  <c r="F17" i="25"/>
  <c r="V17" i="25" s="1"/>
  <c r="O16" i="25"/>
  <c r="AE16" i="25" s="1"/>
  <c r="N16" i="25"/>
  <c r="AD16" i="25" s="1"/>
  <c r="M16" i="25"/>
  <c r="AC16" i="25" s="1"/>
  <c r="L16" i="25"/>
  <c r="AB16" i="25" s="1"/>
  <c r="K16" i="25"/>
  <c r="AA16" i="25" s="1"/>
  <c r="J16" i="25"/>
  <c r="Z16" i="25" s="1"/>
  <c r="I16" i="25"/>
  <c r="Y16" i="25" s="1"/>
  <c r="H16" i="25"/>
  <c r="X16" i="25" s="1"/>
  <c r="G16" i="25"/>
  <c r="W16" i="25" s="1"/>
  <c r="F16" i="25"/>
  <c r="V16" i="25" s="1"/>
  <c r="O15" i="25"/>
  <c r="AE15" i="25" s="1"/>
  <c r="N15" i="25"/>
  <c r="AD15" i="25" s="1"/>
  <c r="O14" i="25"/>
  <c r="AE14" i="25" s="1"/>
  <c r="N14" i="25"/>
  <c r="AD14" i="25" s="1"/>
  <c r="M14" i="25"/>
  <c r="AC14" i="25" s="1"/>
  <c r="L14" i="25"/>
  <c r="AB14" i="25" s="1"/>
  <c r="K14" i="25"/>
  <c r="AA14" i="25" s="1"/>
  <c r="J14" i="25"/>
  <c r="Z14" i="25" s="1"/>
  <c r="I14" i="25"/>
  <c r="Y14" i="25" s="1"/>
  <c r="H14" i="25"/>
  <c r="X14" i="25" s="1"/>
  <c r="G14" i="25"/>
  <c r="W14" i="25" s="1"/>
  <c r="F14" i="25"/>
  <c r="V14" i="25" s="1"/>
  <c r="O13" i="25"/>
  <c r="AE13" i="25" s="1"/>
  <c r="N13" i="25"/>
  <c r="AD13" i="25" s="1"/>
  <c r="M13" i="25"/>
  <c r="AC13" i="25" s="1"/>
  <c r="L13" i="25"/>
  <c r="AB13" i="25" s="1"/>
  <c r="K13" i="25"/>
  <c r="AA13" i="25" s="1"/>
  <c r="J13" i="25"/>
  <c r="Z13" i="25" s="1"/>
  <c r="I13" i="25"/>
  <c r="Y13" i="25" s="1"/>
  <c r="H13" i="25"/>
  <c r="X13" i="25" s="1"/>
  <c r="G13" i="25"/>
  <c r="W13" i="25" s="1"/>
  <c r="F13" i="25"/>
  <c r="V13" i="25" s="1"/>
  <c r="O12" i="25"/>
  <c r="AE12" i="25" s="1"/>
  <c r="N12" i="25"/>
  <c r="AD12" i="25" s="1"/>
  <c r="O11" i="25"/>
  <c r="AE11" i="25" s="1"/>
  <c r="N11" i="25"/>
  <c r="AD11" i="25" s="1"/>
  <c r="M11" i="25"/>
  <c r="AC11" i="25" s="1"/>
  <c r="L11" i="25"/>
  <c r="AB11" i="25" s="1"/>
  <c r="K11" i="25"/>
  <c r="AA11" i="25" s="1"/>
  <c r="J11" i="25"/>
  <c r="Z11" i="25" s="1"/>
  <c r="I11" i="25"/>
  <c r="Y11" i="25" s="1"/>
  <c r="H11" i="25"/>
  <c r="X11" i="25" s="1"/>
  <c r="G11" i="25"/>
  <c r="W11" i="25" s="1"/>
  <c r="F11" i="25"/>
  <c r="V11" i="25" s="1"/>
  <c r="O10" i="25"/>
  <c r="AE10" i="25" s="1"/>
  <c r="N10" i="25"/>
  <c r="AD10" i="25" s="1"/>
  <c r="M10" i="25"/>
  <c r="AC10" i="25" s="1"/>
  <c r="L10" i="25"/>
  <c r="AB10" i="25" s="1"/>
  <c r="K10" i="25"/>
  <c r="AA10" i="25" s="1"/>
  <c r="J10" i="25"/>
  <c r="Z10" i="25" s="1"/>
  <c r="I10" i="25"/>
  <c r="Y10" i="25" s="1"/>
  <c r="H10" i="25"/>
  <c r="X10" i="25" s="1"/>
  <c r="G10" i="25"/>
  <c r="W10" i="25" s="1"/>
  <c r="F10" i="25"/>
  <c r="V10" i="25" s="1"/>
  <c r="O9" i="25"/>
  <c r="AE9" i="25" s="1"/>
  <c r="N9" i="25"/>
  <c r="AD9" i="25" s="1"/>
  <c r="O6" i="25"/>
  <c r="AE6" i="25" s="1"/>
  <c r="N6" i="25"/>
  <c r="AD6" i="25" s="1"/>
  <c r="L6" i="25"/>
  <c r="AB6" i="25" s="1"/>
  <c r="K6" i="25"/>
  <c r="AA6" i="25" s="1"/>
  <c r="J6" i="25"/>
  <c r="Z6" i="25" s="1"/>
  <c r="H6" i="25"/>
  <c r="X6" i="25" s="1"/>
  <c r="G6" i="25"/>
  <c r="W6" i="25" s="1"/>
  <c r="F6" i="25"/>
  <c r="V6" i="25" s="1"/>
  <c r="O4" i="25"/>
  <c r="AE4" i="25" s="1"/>
  <c r="N4" i="25"/>
  <c r="AD4" i="25" s="1"/>
  <c r="I24" i="26" l="1"/>
  <c r="G24" i="28"/>
  <c r="F24" i="28"/>
  <c r="E24" i="28"/>
  <c r="E23" i="28"/>
  <c r="F23" i="28"/>
  <c r="G23" i="28"/>
  <c r="L25" i="28"/>
  <c r="K25" i="28"/>
  <c r="J25" i="28"/>
  <c r="I25" i="28"/>
  <c r="H25" i="28"/>
  <c r="G25" i="28"/>
  <c r="G9" i="26"/>
  <c r="H3" i="26"/>
  <c r="G10" i="28"/>
  <c r="F10" i="28"/>
  <c r="E10" i="28"/>
  <c r="K19" i="28"/>
  <c r="H24" i="28" l="1"/>
  <c r="H23" i="28"/>
  <c r="I26" i="28"/>
  <c r="G26" i="28"/>
  <c r="H26" i="28"/>
  <c r="M25" i="28"/>
  <c r="H9" i="28"/>
  <c r="G11" i="28" s="1"/>
  <c r="E11" i="28" l="1"/>
  <c r="F11" i="28"/>
  <c r="F12" i="26"/>
  <c r="G11" i="26" s="1"/>
  <c r="F9" i="26"/>
  <c r="B4" i="26"/>
  <c r="B5" i="26" s="1"/>
  <c r="L69" i="24" l="1"/>
  <c r="K69" i="24"/>
  <c r="J69" i="24"/>
  <c r="I69" i="24"/>
  <c r="H69" i="24"/>
  <c r="G69" i="24"/>
  <c r="L68" i="24"/>
  <c r="K68" i="24"/>
  <c r="J68" i="24"/>
  <c r="I68" i="24"/>
  <c r="H68" i="24"/>
  <c r="G68" i="24"/>
  <c r="L67" i="24"/>
  <c r="K67" i="24"/>
  <c r="J67" i="24"/>
  <c r="I67" i="24"/>
  <c r="H67" i="24"/>
  <c r="G67" i="24"/>
  <c r="L66" i="24"/>
  <c r="K66" i="24"/>
  <c r="J66" i="24"/>
  <c r="I66" i="24"/>
  <c r="H66" i="24"/>
  <c r="G66" i="24"/>
  <c r="L65" i="24"/>
  <c r="K65" i="24"/>
  <c r="J65" i="24"/>
  <c r="I65" i="24"/>
  <c r="H65" i="24"/>
  <c r="G65" i="24"/>
  <c r="L64" i="24"/>
  <c r="K64" i="24"/>
  <c r="J64" i="24"/>
  <c r="I64" i="24"/>
  <c r="H64" i="24"/>
  <c r="G64" i="24"/>
  <c r="L61" i="24"/>
  <c r="K61" i="24"/>
  <c r="J61" i="24"/>
  <c r="I61" i="24"/>
  <c r="H61" i="24"/>
  <c r="G61" i="24"/>
  <c r="I60" i="24"/>
  <c r="H60" i="24"/>
  <c r="G60" i="24"/>
  <c r="I59" i="24"/>
  <c r="H59" i="24"/>
  <c r="G59" i="24"/>
  <c r="AC48" i="24"/>
  <c r="AB48" i="24"/>
  <c r="AA48" i="24"/>
  <c r="Y48" i="24"/>
  <c r="X48" i="24"/>
  <c r="W48" i="24"/>
  <c r="Y46" i="24"/>
  <c r="X46" i="24"/>
  <c r="W46" i="24"/>
  <c r="AM28" i="24"/>
  <c r="AL28" i="24"/>
  <c r="AK28" i="24"/>
  <c r="AJ28" i="24"/>
  <c r="AM27" i="24"/>
  <c r="AL27" i="24"/>
  <c r="AK27" i="24"/>
  <c r="AJ27" i="24"/>
  <c r="AM26" i="24"/>
  <c r="AL26" i="24"/>
  <c r="AK26" i="24"/>
  <c r="AJ26" i="24"/>
  <c r="AM25" i="24"/>
  <c r="AL25" i="24"/>
  <c r="AK25" i="24"/>
  <c r="AJ25" i="24"/>
  <c r="L25" i="24"/>
  <c r="K25" i="24"/>
  <c r="J25" i="24"/>
  <c r="I25" i="24"/>
  <c r="H25" i="24"/>
  <c r="G25" i="24"/>
  <c r="AM24" i="24"/>
  <c r="AL24" i="24"/>
  <c r="AK24" i="24"/>
  <c r="AJ24" i="24"/>
  <c r="G24" i="24"/>
  <c r="F24" i="24"/>
  <c r="E24" i="24"/>
  <c r="AM23" i="24"/>
  <c r="AL23" i="24"/>
  <c r="AK23" i="24"/>
  <c r="AJ23" i="24"/>
  <c r="G23" i="24"/>
  <c r="F23" i="24"/>
  <c r="E23" i="24"/>
  <c r="K22" i="24"/>
  <c r="K19" i="24"/>
  <c r="Z13" i="24"/>
  <c r="X13" i="24"/>
  <c r="V13" i="24"/>
  <c r="G13" i="24"/>
  <c r="F13" i="24"/>
  <c r="E13" i="24"/>
  <c r="Z12" i="24"/>
  <c r="X12" i="24"/>
  <c r="V12" i="24"/>
  <c r="G12" i="24"/>
  <c r="F12" i="24"/>
  <c r="E12" i="24"/>
  <c r="AB11" i="24"/>
  <c r="G11" i="24"/>
  <c r="J6" i="24" s="1"/>
  <c r="AG10" i="24"/>
  <c r="AF10" i="24"/>
  <c r="AE10" i="24"/>
  <c r="AG8" i="24"/>
  <c r="AF8" i="24"/>
  <c r="AE8" i="24"/>
  <c r="AC8" i="24"/>
  <c r="AB8" i="24"/>
  <c r="AA8" i="24"/>
  <c r="H8" i="24"/>
  <c r="H13" i="24" l="1"/>
  <c r="H23" i="24"/>
  <c r="I26" i="24"/>
  <c r="G26" i="24"/>
  <c r="I6" i="24"/>
  <c r="AH10" i="24"/>
  <c r="H26" i="24"/>
  <c r="M25" i="24"/>
  <c r="M26" i="24" s="1"/>
  <c r="D25" i="26" l="1"/>
  <c r="B28" i="26"/>
  <c r="B19" i="26"/>
  <c r="B18" i="26"/>
  <c r="C8" i="26"/>
  <c r="C7" i="26"/>
  <c r="H4" i="26"/>
  <c r="D3" i="26"/>
  <c r="C3" i="26"/>
  <c r="C9" i="26" l="1"/>
  <c r="E3" i="26"/>
  <c r="B17" i="26"/>
  <c r="I3" i="26" l="1"/>
  <c r="O12" i="26" l="1"/>
  <c r="O11" i="26"/>
  <c r="Q8" i="26"/>
  <c r="S7" i="26" s="1"/>
  <c r="L25" i="26"/>
  <c r="R25" i="26" l="1"/>
  <c r="T25" i="26" s="1"/>
  <c r="O10" i="26"/>
  <c r="O25" i="26"/>
  <c r="N3" i="22"/>
  <c r="L7" i="26"/>
  <c r="H8" i="28"/>
  <c r="H6" i="28"/>
  <c r="E12" i="28"/>
  <c r="E13" i="28"/>
  <c r="F12" i="28"/>
  <c r="F13" i="28"/>
  <c r="G13" i="28"/>
  <c r="G12" i="28"/>
  <c r="I6" i="28"/>
  <c r="K22" i="28"/>
  <c r="D34" i="26"/>
  <c r="D33" i="26"/>
  <c r="D31" i="26"/>
  <c r="D30" i="26"/>
  <c r="D28" i="26"/>
  <c r="D24" i="26"/>
  <c r="D22" i="26"/>
  <c r="D21" i="26"/>
  <c r="C34" i="26"/>
  <c r="C33" i="26"/>
  <c r="C31" i="26"/>
  <c r="C30" i="26"/>
  <c r="C28" i="26"/>
  <c r="C25" i="26"/>
  <c r="C24" i="26"/>
  <c r="C22" i="26"/>
  <c r="C21" i="26"/>
  <c r="B34" i="26"/>
  <c r="B31" i="26"/>
  <c r="B30" i="26"/>
  <c r="B27" i="26"/>
  <c r="B25" i="26"/>
  <c r="B24" i="26"/>
  <c r="B22" i="26"/>
  <c r="B21" i="26"/>
  <c r="D19" i="26"/>
  <c r="D18" i="26"/>
  <c r="C19" i="26"/>
  <c r="C18" i="26"/>
  <c r="D8" i="26"/>
  <c r="D4" i="26"/>
  <c r="C4" i="26"/>
  <c r="AC53" i="28"/>
  <c r="AB53" i="28"/>
  <c r="AA53" i="28"/>
  <c r="W51" i="28"/>
  <c r="X51" i="28"/>
  <c r="Y51" i="28"/>
  <c r="W53" i="28"/>
  <c r="X53" i="28"/>
  <c r="Y53" i="28"/>
  <c r="B14" i="26" l="1"/>
  <c r="C15" i="26"/>
  <c r="O23" i="26"/>
  <c r="D36" i="26"/>
  <c r="C14" i="26"/>
  <c r="D37" i="26"/>
  <c r="B36" i="26"/>
  <c r="C36" i="26"/>
  <c r="B37" i="26"/>
  <c r="C37" i="26"/>
  <c r="D9" i="26"/>
  <c r="G3" i="26"/>
  <c r="D13" i="26"/>
  <c r="B20" i="26"/>
  <c r="B15" i="26"/>
  <c r="H13" i="28"/>
  <c r="J6" i="28"/>
  <c r="Q4" i="26"/>
  <c r="Q3" i="26"/>
  <c r="S3" i="26" s="1"/>
  <c r="P4" i="26"/>
  <c r="N8" i="26"/>
  <c r="N7" i="26"/>
  <c r="N4" i="26"/>
  <c r="M8" i="26"/>
  <c r="M7" i="26"/>
  <c r="M4" i="26"/>
  <c r="M3" i="26"/>
  <c r="L22" i="26"/>
  <c r="L8" i="26"/>
  <c r="S6" i="26" l="1"/>
  <c r="R6" i="26"/>
  <c r="L14" i="26"/>
  <c r="R3" i="26"/>
  <c r="L9" i="26"/>
  <c r="R8" i="26"/>
  <c r="S8" i="26"/>
  <c r="L20" i="26"/>
  <c r="O22" i="26"/>
  <c r="R22" i="26"/>
  <c r="T22" i="26" s="1"/>
  <c r="O31" i="26"/>
  <c r="R4" i="26"/>
  <c r="E37" i="26"/>
  <c r="B16" i="26"/>
  <c r="E36" i="26"/>
  <c r="M9" i="26"/>
  <c r="N14" i="26"/>
  <c r="E10" i="26"/>
  <c r="S4" i="26"/>
  <c r="T4" i="26"/>
  <c r="T3" i="26"/>
  <c r="R28" i="26"/>
  <c r="T28" i="26" s="1"/>
  <c r="L36" i="26"/>
  <c r="R34" i="26"/>
  <c r="O7" i="26"/>
  <c r="R33" i="26"/>
  <c r="O8" i="26"/>
  <c r="S34" i="26"/>
  <c r="E34" i="26"/>
  <c r="Q32" i="26"/>
  <c r="M32" i="26"/>
  <c r="C32" i="26"/>
  <c r="E33" i="26"/>
  <c r="N32" i="26"/>
  <c r="D32" i="26"/>
  <c r="N37" i="26"/>
  <c r="E31" i="26"/>
  <c r="N29" i="26"/>
  <c r="D29" i="26"/>
  <c r="Q29" i="26"/>
  <c r="P29" i="26"/>
  <c r="M29" i="26"/>
  <c r="L29" i="26"/>
  <c r="C29" i="26"/>
  <c r="B29" i="26"/>
  <c r="E28" i="26"/>
  <c r="Q26" i="26"/>
  <c r="P26" i="26"/>
  <c r="M26" i="26"/>
  <c r="C26" i="26"/>
  <c r="B26" i="26"/>
  <c r="N26" i="26"/>
  <c r="D26" i="26"/>
  <c r="Q37" i="26"/>
  <c r="M37" i="26"/>
  <c r="D14" i="26"/>
  <c r="E24" i="26"/>
  <c r="Q23" i="26"/>
  <c r="P23" i="26"/>
  <c r="M23" i="26"/>
  <c r="L23" i="26"/>
  <c r="C23" i="26"/>
  <c r="B23" i="26"/>
  <c r="E22" i="26"/>
  <c r="Q20" i="26"/>
  <c r="M20" i="26"/>
  <c r="C20" i="26"/>
  <c r="E21" i="26"/>
  <c r="N20" i="26"/>
  <c r="D20" i="26"/>
  <c r="E19" i="26"/>
  <c r="M17" i="26"/>
  <c r="C17" i="26"/>
  <c r="E18" i="26"/>
  <c r="N17" i="26"/>
  <c r="D17" i="26"/>
  <c r="E12" i="26"/>
  <c r="N10" i="26"/>
  <c r="Q9" i="26"/>
  <c r="P9" i="26"/>
  <c r="N9" i="26"/>
  <c r="N5" i="26"/>
  <c r="O4" i="26"/>
  <c r="E4" i="26"/>
  <c r="F3" i="26" s="1"/>
  <c r="Q5" i="26"/>
  <c r="P5" i="26"/>
  <c r="M5" i="26"/>
  <c r="D5" i="26"/>
  <c r="C5" i="26"/>
  <c r="R14" i="26" l="1"/>
  <c r="L13" i="26"/>
  <c r="L16" i="26" s="1"/>
  <c r="S5" i="26"/>
  <c r="C39" i="26"/>
  <c r="R10" i="26"/>
  <c r="R9" i="26"/>
  <c r="T33" i="26"/>
  <c r="R5" i="26"/>
  <c r="O20" i="26"/>
  <c r="O29" i="26"/>
  <c r="T34" i="26"/>
  <c r="O14" i="26"/>
  <c r="T30" i="26"/>
  <c r="C16" i="26"/>
  <c r="I4" i="26"/>
  <c r="E13" i="26"/>
  <c r="M6" i="26"/>
  <c r="Q6" i="26"/>
  <c r="N6" i="26"/>
  <c r="E32" i="26"/>
  <c r="O9" i="26"/>
  <c r="D6" i="26"/>
  <c r="L6" i="26"/>
  <c r="P6" i="26"/>
  <c r="B6" i="26"/>
  <c r="C6" i="26"/>
  <c r="P36" i="26"/>
  <c r="E25" i="26"/>
  <c r="E30" i="26"/>
  <c r="E29" i="26" s="1"/>
  <c r="T31" i="26"/>
  <c r="E8" i="26"/>
  <c r="N15" i="26"/>
  <c r="T15" i="26" s="1"/>
  <c r="E17" i="26"/>
  <c r="E20" i="26"/>
  <c r="N23" i="26"/>
  <c r="L26" i="26"/>
  <c r="R27" i="26"/>
  <c r="B32" i="26"/>
  <c r="P32" i="26"/>
  <c r="N36" i="26"/>
  <c r="L37" i="26"/>
  <c r="E7" i="26"/>
  <c r="Q36" i="26"/>
  <c r="O3" i="26"/>
  <c r="O5" i="26" s="1"/>
  <c r="O6" i="26" s="1"/>
  <c r="M36" i="26"/>
  <c r="E27" i="26"/>
  <c r="E26" i="26" s="1"/>
  <c r="S27" i="26"/>
  <c r="D15" i="26"/>
  <c r="D23" i="26"/>
  <c r="L32" i="26"/>
  <c r="P37" i="26"/>
  <c r="N19" i="22"/>
  <c r="M24" i="22"/>
  <c r="Q21" i="22"/>
  <c r="P33" i="22"/>
  <c r="Q12" i="22"/>
  <c r="Q11" i="22"/>
  <c r="P12" i="22"/>
  <c r="P11" i="22"/>
  <c r="D39" i="26" l="1"/>
  <c r="M48" i="26"/>
  <c r="N43" i="26"/>
  <c r="P57" i="26"/>
  <c r="G7" i="26"/>
  <c r="Q45" i="26"/>
  <c r="R15" i="26"/>
  <c r="B39" i="26"/>
  <c r="O15" i="26"/>
  <c r="D16" i="26"/>
  <c r="E16" i="26" s="1"/>
  <c r="T27" i="26"/>
  <c r="E9" i="26"/>
  <c r="E23" i="26"/>
  <c r="E39" i="26" s="1"/>
  <c r="M16" i="26"/>
  <c r="O37" i="26"/>
  <c r="N13" i="26"/>
  <c r="N16" i="26" s="1"/>
  <c r="E15" i="26"/>
  <c r="O36" i="26"/>
  <c r="E14" i="26"/>
  <c r="G14" i="26" s="1"/>
  <c r="E5" i="26"/>
  <c r="P10" i="22"/>
  <c r="O13" i="26" l="1"/>
  <c r="O16" i="26" s="1"/>
  <c r="D37" i="21"/>
  <c r="H5" i="26"/>
  <c r="F5" i="26"/>
  <c r="G5" i="26"/>
  <c r="B37" i="21"/>
  <c r="C37" i="21"/>
  <c r="E40" i="26"/>
  <c r="E6" i="26"/>
  <c r="D43" i="21" l="1"/>
  <c r="Q18" i="22"/>
  <c r="Q25" i="22"/>
  <c r="N34" i="22"/>
  <c r="M19" i="22"/>
  <c r="L34" i="22"/>
  <c r="C18" i="22"/>
  <c r="B25" i="22"/>
  <c r="C12" i="22"/>
  <c r="B12" i="22"/>
  <c r="B11" i="22"/>
  <c r="N18" i="22"/>
  <c r="N33" i="22"/>
  <c r="N22" i="22"/>
  <c r="Q22" i="22"/>
  <c r="P19" i="22"/>
  <c r="P18" i="22"/>
  <c r="M18" i="22"/>
  <c r="Q42" i="26" l="1"/>
  <c r="Q46" i="26"/>
  <c r="L58" i="26"/>
  <c r="N57" i="26"/>
  <c r="M43" i="26"/>
  <c r="M42" i="26"/>
  <c r="N46" i="26"/>
  <c r="N42" i="26"/>
  <c r="N58" i="26"/>
  <c r="P42" i="26"/>
  <c r="P43" i="26"/>
  <c r="Q49" i="26"/>
  <c r="B13" i="22"/>
  <c r="B10" i="22"/>
  <c r="R11" i="22"/>
  <c r="N12" i="22"/>
  <c r="R12" i="22"/>
  <c r="M11" i="22"/>
  <c r="P8" i="22"/>
  <c r="P7" i="22"/>
  <c r="L7" i="22"/>
  <c r="L3" i="22"/>
  <c r="D19" i="22"/>
  <c r="C22" i="22"/>
  <c r="B28" i="22"/>
  <c r="B24" i="22"/>
  <c r="B22" i="22"/>
  <c r="B7" i="22"/>
  <c r="C7" i="22"/>
  <c r="B8" i="22"/>
  <c r="B3" i="22"/>
  <c r="P9" i="22" l="1"/>
  <c r="B9" i="22"/>
  <c r="S11" i="22"/>
  <c r="Q19" i="22" l="1"/>
  <c r="Q20" i="22"/>
  <c r="Q24" i="22"/>
  <c r="Q33" i="22"/>
  <c r="Q34" i="22"/>
  <c r="Q31" i="22"/>
  <c r="Q28" i="22"/>
  <c r="Q10" i="22"/>
  <c r="O5" i="21" s="1"/>
  <c r="P34" i="22"/>
  <c r="M34" i="22"/>
  <c r="M33" i="22"/>
  <c r="L33" i="22"/>
  <c r="Q30" i="22"/>
  <c r="P31" i="22"/>
  <c r="P30" i="22"/>
  <c r="N31" i="22"/>
  <c r="N30" i="22"/>
  <c r="M31" i="22"/>
  <c r="M30" i="22"/>
  <c r="L31" i="22"/>
  <c r="L30" i="22"/>
  <c r="Q27" i="22"/>
  <c r="P28" i="22"/>
  <c r="P27" i="22"/>
  <c r="N28" i="22"/>
  <c r="N27" i="22"/>
  <c r="M28" i="22"/>
  <c r="M27" i="22"/>
  <c r="L28" i="22"/>
  <c r="L27" i="22"/>
  <c r="P25" i="22"/>
  <c r="P24" i="22"/>
  <c r="N25" i="22"/>
  <c r="N24" i="22"/>
  <c r="M25" i="22"/>
  <c r="L25" i="22"/>
  <c r="L24" i="22"/>
  <c r="P21" i="22"/>
  <c r="P22" i="22"/>
  <c r="N21" i="22"/>
  <c r="M21" i="22"/>
  <c r="L22" i="22"/>
  <c r="L21" i="22"/>
  <c r="M22" i="22"/>
  <c r="L19" i="22"/>
  <c r="L18" i="22"/>
  <c r="N11" i="22"/>
  <c r="N10" i="22" s="1"/>
  <c r="H5" i="21" s="1"/>
  <c r="M12" i="22"/>
  <c r="M10" i="22" s="1"/>
  <c r="L12" i="22"/>
  <c r="L11" i="22"/>
  <c r="Q7" i="22"/>
  <c r="N7" i="22"/>
  <c r="N8" i="22"/>
  <c r="M8" i="22"/>
  <c r="M7" i="22"/>
  <c r="L8" i="22"/>
  <c r="Q8" i="22"/>
  <c r="S7" i="22" s="1"/>
  <c r="Q4" i="22"/>
  <c r="Q3" i="22"/>
  <c r="P4" i="22"/>
  <c r="P3" i="22"/>
  <c r="N4" i="22"/>
  <c r="H4" i="21"/>
  <c r="M4" i="22"/>
  <c r="M3" i="22"/>
  <c r="G4" i="21" s="1"/>
  <c r="L4" i="22"/>
  <c r="L5" i="22" s="1"/>
  <c r="P48" i="26" l="1"/>
  <c r="O5" i="29"/>
  <c r="AE5" i="29" s="1"/>
  <c r="H4" i="29"/>
  <c r="X4" i="29" s="1"/>
  <c r="P46" i="26"/>
  <c r="P54" i="26"/>
  <c r="L51" i="26"/>
  <c r="P55" i="26"/>
  <c r="L48" i="26"/>
  <c r="Q54" i="26"/>
  <c r="L49" i="26"/>
  <c r="L57" i="26"/>
  <c r="Q57" i="26"/>
  <c r="L45" i="26"/>
  <c r="M49" i="26"/>
  <c r="M52" i="26"/>
  <c r="M54" i="26"/>
  <c r="M57" i="26"/>
  <c r="Q48" i="26"/>
  <c r="P51" i="26"/>
  <c r="H5" i="29"/>
  <c r="X5" i="29" s="1"/>
  <c r="P52" i="26"/>
  <c r="P45" i="26"/>
  <c r="Q55" i="26"/>
  <c r="L43" i="26"/>
  <c r="L54" i="26"/>
  <c r="Q58" i="26"/>
  <c r="M46" i="26"/>
  <c r="M51" i="26"/>
  <c r="L46" i="26"/>
  <c r="N23" i="22"/>
  <c r="N48" i="26"/>
  <c r="N51" i="26"/>
  <c r="M55" i="26"/>
  <c r="M58" i="26"/>
  <c r="Q44" i="26"/>
  <c r="N45" i="26"/>
  <c r="N55" i="26"/>
  <c r="P49" i="26"/>
  <c r="Q52" i="26"/>
  <c r="L42" i="26"/>
  <c r="Q51" i="26"/>
  <c r="L52" i="26"/>
  <c r="L55" i="26"/>
  <c r="G4" i="29"/>
  <c r="W4" i="29" s="1"/>
  <c r="M45" i="26"/>
  <c r="N49" i="26"/>
  <c r="N52" i="26"/>
  <c r="N54" i="26"/>
  <c r="P58" i="26"/>
  <c r="Q43" i="26"/>
  <c r="P5" i="22"/>
  <c r="P6" i="22" s="1"/>
  <c r="N14" i="22"/>
  <c r="H7" i="21" s="1"/>
  <c r="L36" i="22"/>
  <c r="L29" i="22"/>
  <c r="R28" i="22"/>
  <c r="M14" i="22"/>
  <c r="G7" i="21" s="1"/>
  <c r="L15" i="22"/>
  <c r="F8" i="21" s="1"/>
  <c r="O18" i="22"/>
  <c r="S21" i="22"/>
  <c r="P15" i="22"/>
  <c r="N8" i="21" s="1"/>
  <c r="L26" i="22"/>
  <c r="L14" i="22"/>
  <c r="F7" i="21" s="1"/>
  <c r="O19" i="22"/>
  <c r="N9" i="22"/>
  <c r="Q9" i="22"/>
  <c r="R7" i="22"/>
  <c r="S8" i="22"/>
  <c r="L10" i="22"/>
  <c r="F5" i="21" s="1"/>
  <c r="Q14" i="22"/>
  <c r="O7" i="21" s="1"/>
  <c r="M15" i="22"/>
  <c r="S6" i="22"/>
  <c r="L9" i="22"/>
  <c r="N15" i="22"/>
  <c r="H8" i="21" s="1"/>
  <c r="R31" i="22"/>
  <c r="L37" i="22"/>
  <c r="R22" i="22"/>
  <c r="M9" i="22"/>
  <c r="R6" i="22"/>
  <c r="S22" i="22"/>
  <c r="P14" i="22"/>
  <c r="N7" i="21" s="1"/>
  <c r="P36" i="22"/>
  <c r="S10" i="22"/>
  <c r="Q5" i="22"/>
  <c r="O3" i="21" s="1"/>
  <c r="N5" i="21"/>
  <c r="P37" i="22"/>
  <c r="M37" i="22"/>
  <c r="G30" i="21" s="1"/>
  <c r="O12" i="22"/>
  <c r="N37" i="22"/>
  <c r="H30" i="21" s="1"/>
  <c r="R27" i="22"/>
  <c r="Q37" i="22"/>
  <c r="R33" i="22"/>
  <c r="R4" i="22"/>
  <c r="G5" i="21"/>
  <c r="P20" i="22"/>
  <c r="S25" i="22"/>
  <c r="P26" i="22"/>
  <c r="N29" i="22"/>
  <c r="Q36" i="22"/>
  <c r="O11" i="22"/>
  <c r="R24" i="22"/>
  <c r="M36" i="22"/>
  <c r="G31" i="21" s="1"/>
  <c r="M29" i="22"/>
  <c r="O31" i="22"/>
  <c r="Q15" i="22"/>
  <c r="Q17" i="22"/>
  <c r="O22" i="22"/>
  <c r="N36" i="22"/>
  <c r="H31" i="21" s="1"/>
  <c r="S31" i="22"/>
  <c r="P17" i="22"/>
  <c r="M20" i="22"/>
  <c r="F4" i="21"/>
  <c r="S4" i="22"/>
  <c r="S28" i="22"/>
  <c r="S34" i="22"/>
  <c r="Q32" i="22"/>
  <c r="P32" i="22"/>
  <c r="S33" i="22"/>
  <c r="N32" i="22"/>
  <c r="R34" i="22"/>
  <c r="O33" i="22"/>
  <c r="M32" i="22"/>
  <c r="O34" i="22"/>
  <c r="L32" i="22"/>
  <c r="Q29" i="22"/>
  <c r="P29" i="22"/>
  <c r="S30" i="22"/>
  <c r="R30" i="22"/>
  <c r="O30" i="22"/>
  <c r="Q26" i="22"/>
  <c r="S27" i="22"/>
  <c r="N26" i="22"/>
  <c r="O28" i="22"/>
  <c r="M26" i="22"/>
  <c r="O27" i="22"/>
  <c r="M23" i="22"/>
  <c r="Q23" i="22"/>
  <c r="P23" i="22"/>
  <c r="S24" i="22"/>
  <c r="O25" i="22"/>
  <c r="O24" i="22"/>
  <c r="L23" i="22"/>
  <c r="R25" i="22"/>
  <c r="N20" i="22"/>
  <c r="O21" i="22"/>
  <c r="R21" i="22"/>
  <c r="L20" i="22"/>
  <c r="S18" i="22"/>
  <c r="R18" i="22"/>
  <c r="N17" i="22"/>
  <c r="M17" i="22"/>
  <c r="L17" i="22"/>
  <c r="O8" i="22"/>
  <c r="O7" i="22"/>
  <c r="N3" i="21" l="1"/>
  <c r="N27" i="21" s="1"/>
  <c r="Q13" i="22"/>
  <c r="F15" i="21"/>
  <c r="L47" i="26"/>
  <c r="P53" i="26"/>
  <c r="O46" i="26"/>
  <c r="O52" i="26"/>
  <c r="P56" i="26"/>
  <c r="Q41" i="26"/>
  <c r="F8" i="29"/>
  <c r="V8" i="29" s="1"/>
  <c r="O58" i="26"/>
  <c r="O55" i="26"/>
  <c r="N7" i="29"/>
  <c r="AD7" i="29" s="1"/>
  <c r="G24" i="21"/>
  <c r="M56" i="26"/>
  <c r="G21" i="21"/>
  <c r="M53" i="26"/>
  <c r="O43" i="26"/>
  <c r="O45" i="26"/>
  <c r="Q47" i="26"/>
  <c r="O29" i="22"/>
  <c r="O54" i="26"/>
  <c r="O57" i="26"/>
  <c r="H7" i="29"/>
  <c r="X7" i="29" s="1"/>
  <c r="G31" i="29"/>
  <c r="W31" i="29" s="1"/>
  <c r="P44" i="26"/>
  <c r="G30" i="29"/>
  <c r="W30" i="29" s="1"/>
  <c r="F7" i="29"/>
  <c r="V7" i="29" s="1"/>
  <c r="F21" i="21"/>
  <c r="L53" i="26"/>
  <c r="G18" i="21"/>
  <c r="M50" i="26"/>
  <c r="Q53" i="26"/>
  <c r="O49" i="26"/>
  <c r="F24" i="21"/>
  <c r="L56" i="26"/>
  <c r="Q6" i="22"/>
  <c r="H8" i="29"/>
  <c r="X8" i="29" s="1"/>
  <c r="H15" i="21"/>
  <c r="N47" i="26"/>
  <c r="F12" i="21"/>
  <c r="L44" i="26"/>
  <c r="P50" i="26"/>
  <c r="G7" i="29"/>
  <c r="W7" i="29" s="1"/>
  <c r="P47" i="26"/>
  <c r="F9" i="21"/>
  <c r="L41" i="26"/>
  <c r="H12" i="21"/>
  <c r="N44" i="26"/>
  <c r="G15" i="21"/>
  <c r="M47" i="26"/>
  <c r="F4" i="29"/>
  <c r="V4" i="29" s="1"/>
  <c r="G5" i="29"/>
  <c r="W5" i="29" s="1"/>
  <c r="O7" i="29"/>
  <c r="AE7" i="29" s="1"/>
  <c r="F18" i="21"/>
  <c r="L50" i="26"/>
  <c r="H9" i="21"/>
  <c r="N41" i="26"/>
  <c r="O3" i="29"/>
  <c r="AE3" i="29" s="1"/>
  <c r="O48" i="26"/>
  <c r="S5" i="22"/>
  <c r="O42" i="26"/>
  <c r="H18" i="21"/>
  <c r="N50" i="26"/>
  <c r="Q56" i="26"/>
  <c r="H21" i="21"/>
  <c r="N53" i="26"/>
  <c r="G12" i="21"/>
  <c r="M44" i="26"/>
  <c r="H30" i="29"/>
  <c r="X30" i="29" s="1"/>
  <c r="Q50" i="26"/>
  <c r="P41" i="26"/>
  <c r="G9" i="21"/>
  <c r="M41" i="26"/>
  <c r="O51" i="26"/>
  <c r="H24" i="21"/>
  <c r="N56" i="26"/>
  <c r="H31" i="29"/>
  <c r="X31" i="29" s="1"/>
  <c r="N8" i="29"/>
  <c r="AD8" i="29" s="1"/>
  <c r="N5" i="29"/>
  <c r="AD5" i="29" s="1"/>
  <c r="F5" i="29"/>
  <c r="V5" i="29" s="1"/>
  <c r="M13" i="22"/>
  <c r="N13" i="22"/>
  <c r="G32" i="21"/>
  <c r="O20" i="22"/>
  <c r="O26" i="22"/>
  <c r="O10" i="22"/>
  <c r="P13" i="22"/>
  <c r="L13" i="22"/>
  <c r="O14" i="22"/>
  <c r="O15" i="22"/>
  <c r="O8" i="21"/>
  <c r="S14" i="22"/>
  <c r="G8" i="21"/>
  <c r="I5" i="21"/>
  <c r="O23" i="22"/>
  <c r="O32" i="22"/>
  <c r="H32" i="21"/>
  <c r="O36" i="22"/>
  <c r="F31" i="21"/>
  <c r="I6" i="21"/>
  <c r="O9" i="22"/>
  <c r="R9" i="22"/>
  <c r="O37" i="22"/>
  <c r="F30" i="21"/>
  <c r="I4" i="21"/>
  <c r="O27" i="21"/>
  <c r="O17" i="22"/>
  <c r="N3" i="29" l="1"/>
  <c r="AD3" i="29" s="1"/>
  <c r="I12" i="21"/>
  <c r="I12" i="29" s="1"/>
  <c r="Y12" i="29" s="1"/>
  <c r="I15" i="21"/>
  <c r="I15" i="29" s="1"/>
  <c r="Y15" i="29" s="1"/>
  <c r="G32" i="29"/>
  <c r="W32" i="29" s="1"/>
  <c r="F9" i="29"/>
  <c r="V9" i="29" s="1"/>
  <c r="O41" i="26"/>
  <c r="H32" i="29"/>
  <c r="X32" i="29" s="1"/>
  <c r="F21" i="29"/>
  <c r="V21" i="29" s="1"/>
  <c r="O56" i="26"/>
  <c r="H21" i="29"/>
  <c r="X21" i="29" s="1"/>
  <c r="O53" i="26"/>
  <c r="I4" i="29"/>
  <c r="Y4" i="29" s="1"/>
  <c r="I5" i="29"/>
  <c r="Y5" i="29" s="1"/>
  <c r="H12" i="29"/>
  <c r="X12" i="29" s="1"/>
  <c r="H15" i="29"/>
  <c r="X15" i="29" s="1"/>
  <c r="G21" i="29"/>
  <c r="W21" i="29" s="1"/>
  <c r="F30" i="29"/>
  <c r="V30" i="29" s="1"/>
  <c r="O8" i="29"/>
  <c r="AE8" i="29" s="1"/>
  <c r="H18" i="29"/>
  <c r="X18" i="29" s="1"/>
  <c r="G24" i="29"/>
  <c r="W24" i="29" s="1"/>
  <c r="I9" i="21"/>
  <c r="F12" i="29"/>
  <c r="V12" i="29" s="1"/>
  <c r="H9" i="29"/>
  <c r="X9" i="29" s="1"/>
  <c r="O27" i="29"/>
  <c r="AE27" i="29" s="1"/>
  <c r="N27" i="29"/>
  <c r="AD27" i="29" s="1"/>
  <c r="I6" i="29"/>
  <c r="Y6" i="29" s="1"/>
  <c r="G8" i="29"/>
  <c r="W8" i="29" s="1"/>
  <c r="O50" i="26"/>
  <c r="G9" i="29"/>
  <c r="W9" i="29" s="1"/>
  <c r="F18" i="29"/>
  <c r="V18" i="29" s="1"/>
  <c r="G18" i="29"/>
  <c r="W18" i="29" s="1"/>
  <c r="G12" i="29"/>
  <c r="W12" i="29" s="1"/>
  <c r="H24" i="29"/>
  <c r="X24" i="29" s="1"/>
  <c r="I24" i="21"/>
  <c r="G15" i="29"/>
  <c r="W15" i="29" s="1"/>
  <c r="O47" i="26"/>
  <c r="I18" i="21"/>
  <c r="F24" i="29"/>
  <c r="V24" i="29" s="1"/>
  <c r="I21" i="21"/>
  <c r="F31" i="29"/>
  <c r="V31" i="29" s="1"/>
  <c r="O44" i="26"/>
  <c r="F15" i="29"/>
  <c r="V15" i="29" s="1"/>
  <c r="R14" i="22"/>
  <c r="O13" i="22"/>
  <c r="I7" i="21"/>
  <c r="I8" i="21"/>
  <c r="I31" i="21"/>
  <c r="F32" i="21"/>
  <c r="I30" i="21"/>
  <c r="O28" i="21"/>
  <c r="N28" i="21"/>
  <c r="F32" i="29" l="1"/>
  <c r="V32" i="29" s="1"/>
  <c r="I24" i="29"/>
  <c r="Y24" i="29" s="1"/>
  <c r="I31" i="29"/>
  <c r="Y31" i="29" s="1"/>
  <c r="I7" i="29"/>
  <c r="Y7" i="29" s="1"/>
  <c r="I9" i="29"/>
  <c r="Y9" i="29" s="1"/>
  <c r="N28" i="29"/>
  <c r="AD28" i="29" s="1"/>
  <c r="O28" i="29"/>
  <c r="AE28" i="29" s="1"/>
  <c r="I21" i="29"/>
  <c r="Y21" i="29" s="1"/>
  <c r="I30" i="29"/>
  <c r="Y30" i="29" s="1"/>
  <c r="I8" i="29"/>
  <c r="Y8" i="29" s="1"/>
  <c r="I18" i="29"/>
  <c r="Y18" i="29" s="1"/>
  <c r="I32" i="21"/>
  <c r="O4" i="22"/>
  <c r="O3" i="22"/>
  <c r="M5" i="22"/>
  <c r="N5" i="22"/>
  <c r="D34" i="22"/>
  <c r="D33" i="22"/>
  <c r="D25" i="21" s="1"/>
  <c r="D18" i="22"/>
  <c r="D11" i="22"/>
  <c r="B23" i="22"/>
  <c r="C34" i="22"/>
  <c r="C26" i="21" s="1"/>
  <c r="C33" i="22"/>
  <c r="B34" i="22"/>
  <c r="B33" i="22"/>
  <c r="B25" i="21" s="1"/>
  <c r="D31" i="22"/>
  <c r="D30" i="22"/>
  <c r="D22" i="21" s="1"/>
  <c r="C31" i="22"/>
  <c r="C23" i="21" s="1"/>
  <c r="B31" i="22"/>
  <c r="B30" i="22"/>
  <c r="D28" i="22"/>
  <c r="D27" i="22"/>
  <c r="D19" i="21" s="1"/>
  <c r="C28" i="22"/>
  <c r="C20" i="21" s="1"/>
  <c r="C27" i="22"/>
  <c r="B27" i="22"/>
  <c r="D25" i="22"/>
  <c r="D24" i="22"/>
  <c r="C25" i="22"/>
  <c r="C17" i="21" s="1"/>
  <c r="C24" i="22"/>
  <c r="D22" i="22"/>
  <c r="D21" i="22"/>
  <c r="C21" i="22"/>
  <c r="B21" i="22"/>
  <c r="C19" i="22"/>
  <c r="B19" i="22"/>
  <c r="B18" i="22"/>
  <c r="C30" i="22"/>
  <c r="B20" i="21"/>
  <c r="C14" i="21"/>
  <c r="B14" i="21"/>
  <c r="D12" i="22"/>
  <c r="C11" i="22"/>
  <c r="D8" i="22"/>
  <c r="D7" i="22"/>
  <c r="C8" i="22"/>
  <c r="C9" i="22" s="1"/>
  <c r="D3" i="22"/>
  <c r="D4" i="21" s="1"/>
  <c r="D4" i="22"/>
  <c r="C4" i="22"/>
  <c r="C3" i="22"/>
  <c r="C4" i="21" s="1"/>
  <c r="B4" i="22"/>
  <c r="B5" i="22" s="1"/>
  <c r="D25" i="29" l="1"/>
  <c r="T25" i="29" s="1"/>
  <c r="C17" i="29"/>
  <c r="S17" i="29" s="1"/>
  <c r="C26" i="29"/>
  <c r="S26" i="29" s="1"/>
  <c r="B14" i="29"/>
  <c r="R14" i="29" s="1"/>
  <c r="C20" i="29"/>
  <c r="S20" i="29" s="1"/>
  <c r="D19" i="29"/>
  <c r="T19" i="29" s="1"/>
  <c r="C23" i="29"/>
  <c r="S23" i="29" s="1"/>
  <c r="I32" i="29"/>
  <c r="Y32" i="29" s="1"/>
  <c r="C14" i="29"/>
  <c r="S14" i="29" s="1"/>
  <c r="B25" i="29"/>
  <c r="R25" i="29" s="1"/>
  <c r="D4" i="29"/>
  <c r="T4" i="29" s="1"/>
  <c r="B20" i="29"/>
  <c r="R20" i="29" s="1"/>
  <c r="C4" i="29"/>
  <c r="S4" i="29" s="1"/>
  <c r="D22" i="29"/>
  <c r="T22" i="29" s="1"/>
  <c r="O5" i="22"/>
  <c r="O6" i="22" s="1"/>
  <c r="B19" i="21"/>
  <c r="B36" i="22"/>
  <c r="B23" i="21"/>
  <c r="B37" i="22"/>
  <c r="B14" i="22"/>
  <c r="D13" i="22"/>
  <c r="B15" i="22"/>
  <c r="E30" i="22"/>
  <c r="C13" i="22"/>
  <c r="C10" i="22"/>
  <c r="D10" i="21"/>
  <c r="D15" i="22"/>
  <c r="D14" i="21"/>
  <c r="D14" i="22"/>
  <c r="B6" i="22"/>
  <c r="C14" i="22"/>
  <c r="C13" i="21"/>
  <c r="C15" i="22"/>
  <c r="D10" i="22"/>
  <c r="C37" i="22"/>
  <c r="L6" i="22"/>
  <c r="R5" i="22"/>
  <c r="F3" i="21"/>
  <c r="H3" i="21"/>
  <c r="N6" i="22"/>
  <c r="G3" i="21"/>
  <c r="M6" i="22"/>
  <c r="E27" i="22"/>
  <c r="C19" i="21"/>
  <c r="E34" i="22"/>
  <c r="D26" i="21"/>
  <c r="C29" i="22"/>
  <c r="C22" i="21"/>
  <c r="B17" i="21"/>
  <c r="B32" i="22"/>
  <c r="B26" i="21"/>
  <c r="E31" i="22"/>
  <c r="D20" i="22"/>
  <c r="D13" i="21"/>
  <c r="B26" i="22"/>
  <c r="C6" i="21"/>
  <c r="B6" i="21"/>
  <c r="E28" i="22"/>
  <c r="D20" i="21"/>
  <c r="C32" i="22"/>
  <c r="C25" i="21"/>
  <c r="E19" i="22"/>
  <c r="B11" i="21"/>
  <c r="B29" i="22"/>
  <c r="B22" i="21"/>
  <c r="D11" i="21"/>
  <c r="C11" i="21"/>
  <c r="D23" i="22"/>
  <c r="D16" i="21"/>
  <c r="E22" i="22"/>
  <c r="B16" i="21"/>
  <c r="D29" i="22"/>
  <c r="D23" i="21"/>
  <c r="B17" i="22"/>
  <c r="B10" i="21"/>
  <c r="C23" i="22"/>
  <c r="E23" i="22" s="1"/>
  <c r="C16" i="21"/>
  <c r="C10" i="21"/>
  <c r="C30" i="21"/>
  <c r="B20" i="22"/>
  <c r="B13" i="21"/>
  <c r="D37" i="22"/>
  <c r="D17" i="21"/>
  <c r="C20" i="22"/>
  <c r="D6" i="21"/>
  <c r="D9" i="22"/>
  <c r="G3" i="22"/>
  <c r="B4" i="21"/>
  <c r="L4" i="21"/>
  <c r="K4" i="21"/>
  <c r="C36" i="22"/>
  <c r="C17" i="22"/>
  <c r="D26" i="22"/>
  <c r="C26" i="22"/>
  <c r="E21" i="22"/>
  <c r="E24" i="22"/>
  <c r="E25" i="22"/>
  <c r="E11" i="22"/>
  <c r="D32" i="22"/>
  <c r="D36" i="22"/>
  <c r="E33" i="22"/>
  <c r="E18" i="22"/>
  <c r="D17" i="22"/>
  <c r="E12" i="22"/>
  <c r="E4" i="22"/>
  <c r="E3" i="22"/>
  <c r="C13" i="29" l="1"/>
  <c r="S13" i="29" s="1"/>
  <c r="D17" i="29"/>
  <c r="T17" i="29" s="1"/>
  <c r="C19" i="29"/>
  <c r="S19" i="29" s="1"/>
  <c r="C11" i="29"/>
  <c r="S11" i="29" s="1"/>
  <c r="D11" i="29"/>
  <c r="T11" i="29" s="1"/>
  <c r="B4" i="29"/>
  <c r="R4" i="29" s="1"/>
  <c r="B22" i="29"/>
  <c r="R22" i="29" s="1"/>
  <c r="B6" i="29"/>
  <c r="R6" i="29" s="1"/>
  <c r="B17" i="29"/>
  <c r="R17" i="29" s="1"/>
  <c r="G3" i="29"/>
  <c r="W3" i="29" s="1"/>
  <c r="D14" i="29"/>
  <c r="T14" i="29" s="1"/>
  <c r="C16" i="29"/>
  <c r="S16" i="29" s="1"/>
  <c r="D13" i="29"/>
  <c r="T13" i="29" s="1"/>
  <c r="F3" i="29"/>
  <c r="V3" i="29" s="1"/>
  <c r="C25" i="29"/>
  <c r="S25" i="29" s="1"/>
  <c r="B19" i="29"/>
  <c r="R19" i="29" s="1"/>
  <c r="B10" i="29"/>
  <c r="R10" i="29" s="1"/>
  <c r="D20" i="29"/>
  <c r="T20" i="29" s="1"/>
  <c r="B13" i="29"/>
  <c r="R13" i="29" s="1"/>
  <c r="C30" i="29"/>
  <c r="S30" i="29" s="1"/>
  <c r="B16" i="29"/>
  <c r="R16" i="29" s="1"/>
  <c r="C6" i="29"/>
  <c r="S6" i="29" s="1"/>
  <c r="C22" i="29"/>
  <c r="S22" i="29" s="1"/>
  <c r="D6" i="29"/>
  <c r="T6" i="29" s="1"/>
  <c r="D26" i="29"/>
  <c r="T26" i="29" s="1"/>
  <c r="D16" i="29"/>
  <c r="T16" i="29" s="1"/>
  <c r="K4" i="29"/>
  <c r="AA4" i="29" s="1"/>
  <c r="B26" i="29"/>
  <c r="R26" i="29" s="1"/>
  <c r="L4" i="29"/>
  <c r="AB4" i="29" s="1"/>
  <c r="D23" i="29"/>
  <c r="T23" i="29" s="1"/>
  <c r="C10" i="29"/>
  <c r="S10" i="29" s="1"/>
  <c r="B18" i="21"/>
  <c r="J18" i="21" s="1"/>
  <c r="B11" i="29"/>
  <c r="R11" i="29" s="1"/>
  <c r="H3" i="29"/>
  <c r="X3" i="29" s="1"/>
  <c r="D10" i="29"/>
  <c r="T10" i="29" s="1"/>
  <c r="B23" i="29"/>
  <c r="R23" i="29" s="1"/>
  <c r="E36" i="22"/>
  <c r="E37" i="22"/>
  <c r="C12" i="21"/>
  <c r="K12" i="21" s="1"/>
  <c r="E19" i="21"/>
  <c r="D18" i="21"/>
  <c r="B24" i="21"/>
  <c r="D8" i="21"/>
  <c r="E14" i="21"/>
  <c r="D9" i="21"/>
  <c r="B16" i="22"/>
  <c r="E14" i="22"/>
  <c r="E15" i="22"/>
  <c r="E29" i="22"/>
  <c r="E20" i="21"/>
  <c r="E5" i="22"/>
  <c r="D24" i="21"/>
  <c r="E10" i="22"/>
  <c r="E13" i="22"/>
  <c r="F3" i="22"/>
  <c r="D21" i="21"/>
  <c r="E26" i="22"/>
  <c r="C16" i="22"/>
  <c r="G27" i="21"/>
  <c r="H27" i="21"/>
  <c r="F27" i="21"/>
  <c r="I3" i="21"/>
  <c r="L8" i="21"/>
  <c r="B8" i="21"/>
  <c r="E10" i="21"/>
  <c r="B9" i="21"/>
  <c r="E6" i="21"/>
  <c r="D31" i="21"/>
  <c r="D15" i="21"/>
  <c r="C21" i="21"/>
  <c r="K30" i="21"/>
  <c r="E32" i="22"/>
  <c r="C7" i="21"/>
  <c r="E26" i="21"/>
  <c r="B31" i="21"/>
  <c r="B15" i="21"/>
  <c r="E16" i="21"/>
  <c r="D30" i="21"/>
  <c r="C24" i="21"/>
  <c r="D7" i="21"/>
  <c r="B12" i="21"/>
  <c r="E13" i="21"/>
  <c r="D16" i="22"/>
  <c r="D12" i="21"/>
  <c r="C18" i="21"/>
  <c r="E11" i="21"/>
  <c r="B7" i="21"/>
  <c r="C8" i="21"/>
  <c r="C9" i="21"/>
  <c r="C31" i="21"/>
  <c r="C15" i="21"/>
  <c r="E20" i="22"/>
  <c r="E23" i="21"/>
  <c r="E22" i="21"/>
  <c r="B21" i="21"/>
  <c r="E17" i="21"/>
  <c r="B30" i="21"/>
  <c r="E25" i="21"/>
  <c r="B3" i="21"/>
  <c r="J4" i="21"/>
  <c r="E4" i="21"/>
  <c r="E17" i="22"/>
  <c r="J18" i="29" l="1"/>
  <c r="Z18" i="29" s="1"/>
  <c r="E4" i="29"/>
  <c r="U4" i="29" s="1"/>
  <c r="C24" i="29"/>
  <c r="S24" i="29" s="1"/>
  <c r="D8" i="29"/>
  <c r="T8" i="29" s="1"/>
  <c r="D30" i="29"/>
  <c r="T30" i="29" s="1"/>
  <c r="B24" i="29"/>
  <c r="R24" i="29" s="1"/>
  <c r="C15" i="29"/>
  <c r="S15" i="29" s="1"/>
  <c r="E16" i="29"/>
  <c r="U16" i="29" s="1"/>
  <c r="F27" i="29"/>
  <c r="V27" i="29" s="1"/>
  <c r="D18" i="29"/>
  <c r="T18" i="29" s="1"/>
  <c r="E25" i="29"/>
  <c r="U25" i="29" s="1"/>
  <c r="B30" i="29"/>
  <c r="R30" i="29" s="1"/>
  <c r="G27" i="29"/>
  <c r="W27" i="29" s="1"/>
  <c r="E17" i="29"/>
  <c r="U17" i="29" s="1"/>
  <c r="E13" i="29"/>
  <c r="U13" i="29" s="1"/>
  <c r="E26" i="29"/>
  <c r="U26" i="29" s="1"/>
  <c r="B9" i="29"/>
  <c r="R9" i="29" s="1"/>
  <c r="D9" i="29"/>
  <c r="T9" i="29" s="1"/>
  <c r="H27" i="29"/>
  <c r="X27" i="29" s="1"/>
  <c r="B7" i="29"/>
  <c r="R7" i="29" s="1"/>
  <c r="L8" i="29"/>
  <c r="AB8" i="29" s="1"/>
  <c r="J4" i="29"/>
  <c r="Z4" i="29" s="1"/>
  <c r="E11" i="29"/>
  <c r="U11" i="29" s="1"/>
  <c r="C21" i="29"/>
  <c r="S21" i="29" s="1"/>
  <c r="C18" i="29"/>
  <c r="S18" i="29" s="1"/>
  <c r="D12" i="29"/>
  <c r="T12" i="29" s="1"/>
  <c r="D31" i="29"/>
  <c r="T31" i="29" s="1"/>
  <c r="B18" i="29"/>
  <c r="R18" i="29" s="1"/>
  <c r="K12" i="29"/>
  <c r="AA12" i="29" s="1"/>
  <c r="E6" i="29"/>
  <c r="U6" i="29" s="1"/>
  <c r="C7" i="29"/>
  <c r="S7" i="29" s="1"/>
  <c r="E23" i="29"/>
  <c r="U23" i="29" s="1"/>
  <c r="K30" i="29"/>
  <c r="AA30" i="29" s="1"/>
  <c r="E20" i="29"/>
  <c r="U20" i="29" s="1"/>
  <c r="B3" i="29"/>
  <c r="R3" i="29" s="1"/>
  <c r="D15" i="29"/>
  <c r="T15" i="29" s="1"/>
  <c r="C31" i="29"/>
  <c r="S31" i="29" s="1"/>
  <c r="B15" i="29"/>
  <c r="R15" i="29" s="1"/>
  <c r="E19" i="29"/>
  <c r="U19" i="29" s="1"/>
  <c r="B31" i="29"/>
  <c r="R31" i="29" s="1"/>
  <c r="C12" i="29"/>
  <c r="S12" i="29" s="1"/>
  <c r="B21" i="29"/>
  <c r="R21" i="29" s="1"/>
  <c r="C9" i="29"/>
  <c r="S9" i="29" s="1"/>
  <c r="B12" i="29"/>
  <c r="R12" i="29" s="1"/>
  <c r="E10" i="29"/>
  <c r="U10" i="29" s="1"/>
  <c r="D24" i="29"/>
  <c r="T24" i="29" s="1"/>
  <c r="E22" i="29"/>
  <c r="U22" i="29" s="1"/>
  <c r="C8" i="29"/>
  <c r="S8" i="29" s="1"/>
  <c r="D7" i="29"/>
  <c r="T7" i="29" s="1"/>
  <c r="B8" i="29"/>
  <c r="R8" i="29" s="1"/>
  <c r="D21" i="29"/>
  <c r="T21" i="29" s="1"/>
  <c r="E14" i="29"/>
  <c r="U14" i="29" s="1"/>
  <c r="I3" i="29"/>
  <c r="Y3" i="29" s="1"/>
  <c r="E38" i="22"/>
  <c r="F40" i="26" s="1"/>
  <c r="L9" i="21"/>
  <c r="L18" i="21"/>
  <c r="L21" i="21"/>
  <c r="E18" i="21"/>
  <c r="L24" i="21"/>
  <c r="C32" i="21"/>
  <c r="J24" i="21"/>
  <c r="B5" i="21"/>
  <c r="E24" i="21"/>
  <c r="F5" i="22"/>
  <c r="F28" i="21"/>
  <c r="I27" i="21"/>
  <c r="I27" i="29" s="1"/>
  <c r="Y27" i="29" s="1"/>
  <c r="H28" i="21"/>
  <c r="G28" i="21"/>
  <c r="L12" i="21"/>
  <c r="L30" i="21"/>
  <c r="D32" i="21"/>
  <c r="J8" i="21"/>
  <c r="E8" i="21"/>
  <c r="E30" i="21"/>
  <c r="B32" i="21"/>
  <c r="J30" i="21"/>
  <c r="E16" i="22"/>
  <c r="L15" i="21"/>
  <c r="E7" i="21"/>
  <c r="J7" i="21"/>
  <c r="K15" i="21"/>
  <c r="J15" i="21"/>
  <c r="E15" i="21"/>
  <c r="L31" i="21"/>
  <c r="M6" i="21"/>
  <c r="D5" i="21"/>
  <c r="E21" i="21"/>
  <c r="J21" i="21"/>
  <c r="C5" i="21"/>
  <c r="K9" i="21"/>
  <c r="J12" i="21"/>
  <c r="E12" i="21"/>
  <c r="K24" i="21"/>
  <c r="K7" i="21"/>
  <c r="K21" i="21"/>
  <c r="K18" i="21"/>
  <c r="L7" i="21"/>
  <c r="K31" i="21"/>
  <c r="E31" i="21"/>
  <c r="J31" i="21"/>
  <c r="K8" i="21"/>
  <c r="E9" i="21"/>
  <c r="J9" i="21"/>
  <c r="M4" i="21"/>
  <c r="B28" i="21"/>
  <c r="J3" i="21"/>
  <c r="B27" i="21"/>
  <c r="E7" i="22"/>
  <c r="D5" i="22"/>
  <c r="H5" i="22" s="1"/>
  <c r="H28" i="29" l="1"/>
  <c r="X28" i="29" s="1"/>
  <c r="K21" i="29"/>
  <c r="AA21" i="29" s="1"/>
  <c r="D32" i="29"/>
  <c r="T32" i="29" s="1"/>
  <c r="D5" i="29"/>
  <c r="T5" i="29" s="1"/>
  <c r="K8" i="29"/>
  <c r="AA8" i="29" s="1"/>
  <c r="L18" i="29"/>
  <c r="AB18" i="29" s="1"/>
  <c r="E12" i="29"/>
  <c r="U12" i="29" s="1"/>
  <c r="B5" i="29"/>
  <c r="R5" i="29" s="1"/>
  <c r="B27" i="29"/>
  <c r="R27" i="29" s="1"/>
  <c r="J12" i="29"/>
  <c r="Z12" i="29" s="1"/>
  <c r="E15" i="29"/>
  <c r="U15" i="29" s="1"/>
  <c r="B32" i="29"/>
  <c r="R32" i="29" s="1"/>
  <c r="J3" i="29"/>
  <c r="Z3" i="29" s="1"/>
  <c r="K31" i="29"/>
  <c r="AA31" i="29" s="1"/>
  <c r="K9" i="29"/>
  <c r="AA9" i="29" s="1"/>
  <c r="J15" i="29"/>
  <c r="Z15" i="29" s="1"/>
  <c r="E30" i="29"/>
  <c r="U30" i="29" s="1"/>
  <c r="J24" i="29"/>
  <c r="Z24" i="29" s="1"/>
  <c r="J9" i="29"/>
  <c r="Z9" i="29" s="1"/>
  <c r="E7" i="29"/>
  <c r="U7" i="29" s="1"/>
  <c r="E18" i="29"/>
  <c r="U18" i="29" s="1"/>
  <c r="K7" i="29"/>
  <c r="AA7" i="29" s="1"/>
  <c r="L30" i="29"/>
  <c r="AB30" i="29" s="1"/>
  <c r="M6" i="29"/>
  <c r="AC6" i="29" s="1"/>
  <c r="E24" i="29"/>
  <c r="U24" i="29" s="1"/>
  <c r="J30" i="29"/>
  <c r="Z30" i="29" s="1"/>
  <c r="L9" i="29"/>
  <c r="AB9" i="29" s="1"/>
  <c r="F28" i="29"/>
  <c r="V28" i="29" s="1"/>
  <c r="E21" i="29"/>
  <c r="U21" i="29" s="1"/>
  <c r="E9" i="29"/>
  <c r="U9" i="29" s="1"/>
  <c r="L15" i="29"/>
  <c r="AB15" i="29" s="1"/>
  <c r="L21" i="29"/>
  <c r="AB21" i="29" s="1"/>
  <c r="K24" i="29"/>
  <c r="AA24" i="29" s="1"/>
  <c r="L12" i="29"/>
  <c r="AB12" i="29" s="1"/>
  <c r="J31" i="29"/>
  <c r="Z31" i="29" s="1"/>
  <c r="L31" i="29"/>
  <c r="AB31" i="29" s="1"/>
  <c r="G28" i="29"/>
  <c r="W28" i="29" s="1"/>
  <c r="E31" i="29"/>
  <c r="U31" i="29" s="1"/>
  <c r="B28" i="29"/>
  <c r="R28" i="29" s="1"/>
  <c r="L7" i="29"/>
  <c r="AB7" i="29" s="1"/>
  <c r="C5" i="29"/>
  <c r="S5" i="29" s="1"/>
  <c r="K15" i="29"/>
  <c r="AA15" i="29" s="1"/>
  <c r="E8" i="29"/>
  <c r="U8" i="29" s="1"/>
  <c r="C32" i="29"/>
  <c r="S32" i="29" s="1"/>
  <c r="M4" i="29"/>
  <c r="AC4" i="29" s="1"/>
  <c r="K18" i="29"/>
  <c r="AA18" i="29" s="1"/>
  <c r="J21" i="29"/>
  <c r="Z21" i="29" s="1"/>
  <c r="J7" i="29"/>
  <c r="Z7" i="29" s="1"/>
  <c r="J8" i="29"/>
  <c r="Z8" i="29" s="1"/>
  <c r="L24" i="29"/>
  <c r="AB24" i="29" s="1"/>
  <c r="K32" i="21"/>
  <c r="M18" i="21"/>
  <c r="M24" i="21"/>
  <c r="I28" i="21"/>
  <c r="M21" i="21"/>
  <c r="J5" i="21"/>
  <c r="E5" i="21"/>
  <c r="D42" i="21" s="1"/>
  <c r="L5" i="21"/>
  <c r="L32" i="21"/>
  <c r="J32" i="21"/>
  <c r="E32" i="21"/>
  <c r="M31" i="21"/>
  <c r="M9" i="21"/>
  <c r="K5" i="21"/>
  <c r="M7" i="21"/>
  <c r="M8" i="21"/>
  <c r="M12" i="21"/>
  <c r="M30" i="21"/>
  <c r="M15" i="21"/>
  <c r="J28" i="21"/>
  <c r="D6" i="22"/>
  <c r="D3" i="21"/>
  <c r="J27" i="21"/>
  <c r="E8" i="22"/>
  <c r="E9" i="22" s="1"/>
  <c r="C5" i="22"/>
  <c r="G5" i="22" s="1"/>
  <c r="M21" i="29" l="1"/>
  <c r="AC21" i="29" s="1"/>
  <c r="M15" i="29"/>
  <c r="AC15" i="29" s="1"/>
  <c r="J32" i="29"/>
  <c r="Z32" i="29" s="1"/>
  <c r="L32" i="29"/>
  <c r="AB32" i="29" s="1"/>
  <c r="M8" i="29"/>
  <c r="AC8" i="29" s="1"/>
  <c r="L5" i="29"/>
  <c r="AB5" i="29" s="1"/>
  <c r="K32" i="29"/>
  <c r="AA32" i="29" s="1"/>
  <c r="M9" i="29"/>
  <c r="AC9" i="29" s="1"/>
  <c r="M31" i="29"/>
  <c r="AC31" i="29" s="1"/>
  <c r="F39" i="21"/>
  <c r="E32" i="29"/>
  <c r="U32" i="29" s="1"/>
  <c r="M24" i="29"/>
  <c r="AC24" i="29" s="1"/>
  <c r="J27" i="29"/>
  <c r="Z27" i="29" s="1"/>
  <c r="M7" i="29"/>
  <c r="AC7" i="29" s="1"/>
  <c r="E5" i="29"/>
  <c r="U5" i="29" s="1"/>
  <c r="J28" i="29"/>
  <c r="Z28" i="29" s="1"/>
  <c r="M30" i="29"/>
  <c r="AC30" i="29" s="1"/>
  <c r="M12" i="29"/>
  <c r="AC12" i="29" s="1"/>
  <c r="M18" i="29"/>
  <c r="AC18" i="29" s="1"/>
  <c r="D3" i="29"/>
  <c r="T3" i="29" s="1"/>
  <c r="K5" i="29"/>
  <c r="AA5" i="29" s="1"/>
  <c r="J5" i="29"/>
  <c r="Z5" i="29" s="1"/>
  <c r="I28" i="29"/>
  <c r="Y28" i="29" s="1"/>
  <c r="M5" i="21"/>
  <c r="M32" i="21"/>
  <c r="D27" i="21"/>
  <c r="D28" i="21"/>
  <c r="L3" i="21"/>
  <c r="E6" i="22"/>
  <c r="C3" i="21"/>
  <c r="C6" i="22"/>
  <c r="D40" i="20"/>
  <c r="D39" i="20"/>
  <c r="D37" i="20"/>
  <c r="D43" i="20"/>
  <c r="D42" i="20"/>
  <c r="D38" i="20"/>
  <c r="M5" i="29" l="1"/>
  <c r="AC5" i="29" s="1"/>
  <c r="M32" i="29"/>
  <c r="AC32" i="29" s="1"/>
  <c r="L3" i="29"/>
  <c r="AB3" i="29" s="1"/>
  <c r="D28" i="29"/>
  <c r="T28" i="29" s="1"/>
  <c r="D27" i="29"/>
  <c r="T27" i="29" s="1"/>
  <c r="C3" i="29"/>
  <c r="S3" i="29" s="1"/>
  <c r="C28" i="21"/>
  <c r="K3" i="21"/>
  <c r="C27" i="21"/>
  <c r="E3" i="21"/>
  <c r="L28" i="21"/>
  <c r="L27" i="21"/>
  <c r="E37" i="20"/>
  <c r="E40" i="20"/>
  <c r="AL9" i="20"/>
  <c r="F10" i="18" s="1"/>
  <c r="G10" i="18"/>
  <c r="F15" i="18"/>
  <c r="F14" i="18"/>
  <c r="N7" i="16" s="1"/>
  <c r="N7" i="25" s="1"/>
  <c r="AD7" i="25" s="1"/>
  <c r="E3" i="29" l="1"/>
  <c r="U3" i="29" s="1"/>
  <c r="L27" i="29"/>
  <c r="AB27" i="29" s="1"/>
  <c r="C27" i="29"/>
  <c r="S27" i="29" s="1"/>
  <c r="C28" i="29"/>
  <c r="S28" i="29" s="1"/>
  <c r="L28" i="29"/>
  <c r="AB28" i="29" s="1"/>
  <c r="K3" i="29"/>
  <c r="AA3" i="29" s="1"/>
  <c r="B36" i="21"/>
  <c r="D36" i="21"/>
  <c r="C36" i="21"/>
  <c r="M3" i="21"/>
  <c r="K27" i="21"/>
  <c r="E27" i="21"/>
  <c r="K28" i="21"/>
  <c r="E28" i="21"/>
  <c r="M3" i="29" l="1"/>
  <c r="AC3" i="29" s="1"/>
  <c r="E28" i="29"/>
  <c r="U28" i="29" s="1"/>
  <c r="K27" i="29"/>
  <c r="AA27" i="29" s="1"/>
  <c r="K28" i="29"/>
  <c r="AA28" i="29" s="1"/>
  <c r="E27" i="29"/>
  <c r="U27" i="29" s="1"/>
  <c r="M27" i="21"/>
  <c r="M28" i="21"/>
  <c r="N4" i="19"/>
  <c r="AD4" i="19" s="1"/>
  <c r="O4" i="19"/>
  <c r="AE4" i="19" s="1"/>
  <c r="F6" i="19"/>
  <c r="V6" i="19" s="1"/>
  <c r="G6" i="19"/>
  <c r="W6" i="19" s="1"/>
  <c r="H6" i="19"/>
  <c r="X6" i="19" s="1"/>
  <c r="J6" i="19"/>
  <c r="Z6" i="19" s="1"/>
  <c r="K6" i="19"/>
  <c r="AA6" i="19" s="1"/>
  <c r="L6" i="19"/>
  <c r="AB6" i="19" s="1"/>
  <c r="N6" i="19"/>
  <c r="AD6" i="19" s="1"/>
  <c r="O6" i="19"/>
  <c r="AE6" i="19" s="1"/>
  <c r="N9" i="19"/>
  <c r="AD9" i="19" s="1"/>
  <c r="O9" i="19"/>
  <c r="AE9" i="19" s="1"/>
  <c r="F10" i="19"/>
  <c r="V10" i="19" s="1"/>
  <c r="G10" i="19"/>
  <c r="W10" i="19" s="1"/>
  <c r="H10" i="19"/>
  <c r="X10" i="19" s="1"/>
  <c r="I10" i="19"/>
  <c r="Y10" i="19" s="1"/>
  <c r="J10" i="19"/>
  <c r="Z10" i="19" s="1"/>
  <c r="K10" i="19"/>
  <c r="AA10" i="19" s="1"/>
  <c r="L10" i="19"/>
  <c r="AB10" i="19" s="1"/>
  <c r="M10" i="19"/>
  <c r="AC10" i="19" s="1"/>
  <c r="N10" i="19"/>
  <c r="AD10" i="19" s="1"/>
  <c r="O10" i="19"/>
  <c r="AE10" i="19" s="1"/>
  <c r="F11" i="19"/>
  <c r="V11" i="19" s="1"/>
  <c r="G11" i="19"/>
  <c r="W11" i="19" s="1"/>
  <c r="H11" i="19"/>
  <c r="X11" i="19" s="1"/>
  <c r="I11" i="19"/>
  <c r="Y11" i="19" s="1"/>
  <c r="J11" i="19"/>
  <c r="Z11" i="19" s="1"/>
  <c r="K11" i="19"/>
  <c r="AA11" i="19" s="1"/>
  <c r="L11" i="19"/>
  <c r="AB11" i="19" s="1"/>
  <c r="M11" i="19"/>
  <c r="AC11" i="19" s="1"/>
  <c r="N11" i="19"/>
  <c r="AD11" i="19" s="1"/>
  <c r="O11" i="19"/>
  <c r="AE11" i="19" s="1"/>
  <c r="N12" i="19"/>
  <c r="AD12" i="19" s="1"/>
  <c r="O12" i="19"/>
  <c r="AE12" i="19" s="1"/>
  <c r="F13" i="19"/>
  <c r="V13" i="19" s="1"/>
  <c r="G13" i="19"/>
  <c r="W13" i="19" s="1"/>
  <c r="H13" i="19"/>
  <c r="X13" i="19" s="1"/>
  <c r="I13" i="19"/>
  <c r="Y13" i="19" s="1"/>
  <c r="J13" i="19"/>
  <c r="Z13" i="19" s="1"/>
  <c r="K13" i="19"/>
  <c r="AA13" i="19" s="1"/>
  <c r="L13" i="19"/>
  <c r="AB13" i="19" s="1"/>
  <c r="M13" i="19"/>
  <c r="AC13" i="19" s="1"/>
  <c r="N13" i="19"/>
  <c r="AD13" i="19" s="1"/>
  <c r="O13" i="19"/>
  <c r="AE13" i="19" s="1"/>
  <c r="F14" i="19"/>
  <c r="V14" i="19" s="1"/>
  <c r="G14" i="19"/>
  <c r="W14" i="19" s="1"/>
  <c r="H14" i="19"/>
  <c r="X14" i="19" s="1"/>
  <c r="I14" i="19"/>
  <c r="Y14" i="19" s="1"/>
  <c r="J14" i="19"/>
  <c r="Z14" i="19" s="1"/>
  <c r="K14" i="19"/>
  <c r="AA14" i="19" s="1"/>
  <c r="L14" i="19"/>
  <c r="AB14" i="19" s="1"/>
  <c r="M14" i="19"/>
  <c r="AC14" i="19" s="1"/>
  <c r="N14" i="19"/>
  <c r="AD14" i="19" s="1"/>
  <c r="O14" i="19"/>
  <c r="AE14" i="19" s="1"/>
  <c r="N15" i="19"/>
  <c r="AD15" i="19" s="1"/>
  <c r="O15" i="19"/>
  <c r="AE15" i="19" s="1"/>
  <c r="F16" i="19"/>
  <c r="V16" i="19" s="1"/>
  <c r="G16" i="19"/>
  <c r="W16" i="19" s="1"/>
  <c r="H16" i="19"/>
  <c r="X16" i="19" s="1"/>
  <c r="I16" i="19"/>
  <c r="Y16" i="19" s="1"/>
  <c r="J16" i="19"/>
  <c r="Z16" i="19" s="1"/>
  <c r="K16" i="19"/>
  <c r="AA16" i="19" s="1"/>
  <c r="L16" i="19"/>
  <c r="AB16" i="19" s="1"/>
  <c r="M16" i="19"/>
  <c r="AC16" i="19" s="1"/>
  <c r="N16" i="19"/>
  <c r="AD16" i="19" s="1"/>
  <c r="O16" i="19"/>
  <c r="AE16" i="19" s="1"/>
  <c r="F17" i="19"/>
  <c r="V17" i="19" s="1"/>
  <c r="G17" i="19"/>
  <c r="W17" i="19" s="1"/>
  <c r="H17" i="19"/>
  <c r="X17" i="19" s="1"/>
  <c r="I17" i="19"/>
  <c r="Y17" i="19" s="1"/>
  <c r="J17" i="19"/>
  <c r="Z17" i="19" s="1"/>
  <c r="K17" i="19"/>
  <c r="AA17" i="19" s="1"/>
  <c r="L17" i="19"/>
  <c r="AB17" i="19" s="1"/>
  <c r="M17" i="19"/>
  <c r="AC17" i="19" s="1"/>
  <c r="N17" i="19"/>
  <c r="AD17" i="19" s="1"/>
  <c r="O17" i="19"/>
  <c r="AE17" i="19" s="1"/>
  <c r="N18" i="19"/>
  <c r="AD18" i="19" s="1"/>
  <c r="O18" i="19"/>
  <c r="AE18" i="19" s="1"/>
  <c r="F19" i="19"/>
  <c r="V19" i="19" s="1"/>
  <c r="G19" i="19"/>
  <c r="W19" i="19" s="1"/>
  <c r="H19" i="19"/>
  <c r="X19" i="19" s="1"/>
  <c r="I19" i="19"/>
  <c r="Y19" i="19" s="1"/>
  <c r="J19" i="19"/>
  <c r="Z19" i="19" s="1"/>
  <c r="K19" i="19"/>
  <c r="AA19" i="19" s="1"/>
  <c r="L19" i="19"/>
  <c r="AB19" i="19" s="1"/>
  <c r="M19" i="19"/>
  <c r="AC19" i="19" s="1"/>
  <c r="N19" i="19"/>
  <c r="AD19" i="19" s="1"/>
  <c r="O19" i="19"/>
  <c r="AE19" i="19" s="1"/>
  <c r="F20" i="19"/>
  <c r="V20" i="19" s="1"/>
  <c r="G20" i="19"/>
  <c r="W20" i="19" s="1"/>
  <c r="H20" i="19"/>
  <c r="X20" i="19" s="1"/>
  <c r="I20" i="19"/>
  <c r="Y20" i="19" s="1"/>
  <c r="J20" i="19"/>
  <c r="Z20" i="19" s="1"/>
  <c r="K20" i="19"/>
  <c r="AA20" i="19" s="1"/>
  <c r="L20" i="19"/>
  <c r="AB20" i="19" s="1"/>
  <c r="M20" i="19"/>
  <c r="AC20" i="19" s="1"/>
  <c r="N20" i="19"/>
  <c r="AD20" i="19" s="1"/>
  <c r="O20" i="19"/>
  <c r="AE20" i="19" s="1"/>
  <c r="N21" i="19"/>
  <c r="AD21" i="19" s="1"/>
  <c r="O21" i="19"/>
  <c r="AE21" i="19" s="1"/>
  <c r="F22" i="19"/>
  <c r="V22" i="19" s="1"/>
  <c r="G22" i="19"/>
  <c r="W22" i="19" s="1"/>
  <c r="H22" i="19"/>
  <c r="X22" i="19" s="1"/>
  <c r="I22" i="19"/>
  <c r="Y22" i="19" s="1"/>
  <c r="J22" i="19"/>
  <c r="Z22" i="19" s="1"/>
  <c r="K22" i="19"/>
  <c r="AA22" i="19" s="1"/>
  <c r="L22" i="19"/>
  <c r="AB22" i="19" s="1"/>
  <c r="M22" i="19"/>
  <c r="AC22" i="19" s="1"/>
  <c r="N22" i="19"/>
  <c r="AD22" i="19" s="1"/>
  <c r="O22" i="19"/>
  <c r="AE22" i="19" s="1"/>
  <c r="F23" i="19"/>
  <c r="V23" i="19" s="1"/>
  <c r="G23" i="19"/>
  <c r="W23" i="19" s="1"/>
  <c r="H23" i="19"/>
  <c r="X23" i="19" s="1"/>
  <c r="I23" i="19"/>
  <c r="Y23" i="19" s="1"/>
  <c r="J23" i="19"/>
  <c r="Z23" i="19" s="1"/>
  <c r="K23" i="19"/>
  <c r="AA23" i="19" s="1"/>
  <c r="L23" i="19"/>
  <c r="AB23" i="19" s="1"/>
  <c r="M23" i="19"/>
  <c r="AC23" i="19" s="1"/>
  <c r="N23" i="19"/>
  <c r="AD23" i="19" s="1"/>
  <c r="O23" i="19"/>
  <c r="AE23" i="19" s="1"/>
  <c r="N24" i="19"/>
  <c r="AD24" i="19" s="1"/>
  <c r="O24" i="19"/>
  <c r="AE24" i="19" s="1"/>
  <c r="F25" i="19"/>
  <c r="V25" i="19" s="1"/>
  <c r="G25" i="19"/>
  <c r="W25" i="19" s="1"/>
  <c r="H25" i="19"/>
  <c r="X25" i="19" s="1"/>
  <c r="I25" i="19"/>
  <c r="Y25" i="19" s="1"/>
  <c r="J25" i="19"/>
  <c r="Z25" i="19" s="1"/>
  <c r="K25" i="19"/>
  <c r="AA25" i="19" s="1"/>
  <c r="L25" i="19"/>
  <c r="AB25" i="19" s="1"/>
  <c r="M25" i="19"/>
  <c r="AC25" i="19" s="1"/>
  <c r="N25" i="19"/>
  <c r="AD25" i="19" s="1"/>
  <c r="O25" i="19"/>
  <c r="AE25" i="19" s="1"/>
  <c r="F26" i="19"/>
  <c r="V26" i="19" s="1"/>
  <c r="G26" i="19"/>
  <c r="W26" i="19" s="1"/>
  <c r="H26" i="19"/>
  <c r="X26" i="19" s="1"/>
  <c r="I26" i="19"/>
  <c r="Y26" i="19" s="1"/>
  <c r="J26" i="19"/>
  <c r="Z26" i="19" s="1"/>
  <c r="K26" i="19"/>
  <c r="AA26" i="19" s="1"/>
  <c r="L26" i="19"/>
  <c r="AB26" i="19" s="1"/>
  <c r="M26" i="19"/>
  <c r="AC26" i="19" s="1"/>
  <c r="N26" i="19"/>
  <c r="AD26" i="19" s="1"/>
  <c r="O26" i="19"/>
  <c r="AE26" i="19" s="1"/>
  <c r="B29" i="19"/>
  <c r="R29" i="19" s="1"/>
  <c r="C29" i="19"/>
  <c r="S29" i="19" s="1"/>
  <c r="D29" i="19"/>
  <c r="T29" i="19" s="1"/>
  <c r="E29" i="19"/>
  <c r="U29" i="19" s="1"/>
  <c r="F29" i="19"/>
  <c r="V29" i="19" s="1"/>
  <c r="G29" i="19"/>
  <c r="W29" i="19" s="1"/>
  <c r="H29" i="19"/>
  <c r="X29" i="19" s="1"/>
  <c r="I29" i="19"/>
  <c r="Y29" i="19" s="1"/>
  <c r="J29" i="19"/>
  <c r="Z29" i="19" s="1"/>
  <c r="K29" i="19"/>
  <c r="AA29" i="19" s="1"/>
  <c r="L29" i="19"/>
  <c r="AB29" i="19" s="1"/>
  <c r="M29" i="19"/>
  <c r="AC29" i="19" s="1"/>
  <c r="N29" i="19"/>
  <c r="AD29" i="19" s="1"/>
  <c r="O29" i="19"/>
  <c r="AE29" i="19" s="1"/>
  <c r="N30" i="19"/>
  <c r="AD30" i="19" s="1"/>
  <c r="O30" i="19"/>
  <c r="AE30" i="19" s="1"/>
  <c r="N31" i="19"/>
  <c r="AD31" i="19" s="1"/>
  <c r="O31" i="19"/>
  <c r="AE31" i="19" s="1"/>
  <c r="N32" i="19"/>
  <c r="AD32" i="19" s="1"/>
  <c r="O32" i="19"/>
  <c r="AE32" i="19" s="1"/>
  <c r="N8" i="16"/>
  <c r="N8" i="25" s="1"/>
  <c r="AD8" i="25" s="1"/>
  <c r="O5" i="16"/>
  <c r="O5" i="25" s="1"/>
  <c r="AE5" i="25" s="1"/>
  <c r="N5" i="16"/>
  <c r="N5" i="25" s="1"/>
  <c r="AD5" i="25" s="1"/>
  <c r="H10" i="18"/>
  <c r="M27" i="29" l="1"/>
  <c r="AC27" i="29" s="1"/>
  <c r="M28" i="29"/>
  <c r="AC28" i="29" s="1"/>
  <c r="G15" i="18"/>
  <c r="O8" i="16" s="1"/>
  <c r="O8" i="25" s="1"/>
  <c r="AE8" i="25" s="1"/>
  <c r="G14" i="18"/>
  <c r="D34" i="18"/>
  <c r="D33" i="18"/>
  <c r="D30" i="18"/>
  <c r="D31" i="18"/>
  <c r="D28" i="18"/>
  <c r="D27" i="18"/>
  <c r="D25" i="18"/>
  <c r="D24" i="18"/>
  <c r="D21" i="18"/>
  <c r="D22" i="18"/>
  <c r="D19" i="18"/>
  <c r="D18" i="18"/>
  <c r="C33" i="18"/>
  <c r="C34" i="18"/>
  <c r="C31" i="18"/>
  <c r="C30" i="18"/>
  <c r="C25" i="18"/>
  <c r="C24" i="18"/>
  <c r="C22" i="18"/>
  <c r="C28" i="18"/>
  <c r="C27" i="18"/>
  <c r="C21" i="18"/>
  <c r="B34" i="18"/>
  <c r="B33" i="18"/>
  <c r="B31" i="18"/>
  <c r="B30" i="18"/>
  <c r="B28" i="18"/>
  <c r="B27" i="18"/>
  <c r="B25" i="18"/>
  <c r="B24" i="18"/>
  <c r="B22" i="18"/>
  <c r="B21" i="18"/>
  <c r="B12" i="18"/>
  <c r="B11" i="18"/>
  <c r="C19" i="18"/>
  <c r="C18" i="18"/>
  <c r="B19" i="18"/>
  <c r="B18" i="18"/>
  <c r="G5" i="18"/>
  <c r="O3" i="16" s="1"/>
  <c r="O3" i="25" s="1"/>
  <c r="AE3" i="25" s="1"/>
  <c r="F5" i="18"/>
  <c r="N3" i="16" s="1"/>
  <c r="N3" i="25" s="1"/>
  <c r="AD3" i="25" s="1"/>
  <c r="D8" i="18"/>
  <c r="C8" i="18"/>
  <c r="B8" i="18"/>
  <c r="D7" i="18"/>
  <c r="C7" i="18"/>
  <c r="B7" i="18"/>
  <c r="C4" i="18"/>
  <c r="D4" i="18"/>
  <c r="D3" i="18"/>
  <c r="H4" i="16" s="1"/>
  <c r="H4" i="25" s="1"/>
  <c r="X4" i="25" s="1"/>
  <c r="C3" i="18"/>
  <c r="G4" i="16" s="1"/>
  <c r="G4" i="25" s="1"/>
  <c r="W4" i="25" s="1"/>
  <c r="B4" i="18"/>
  <c r="B3" i="18"/>
  <c r="F4" i="16" s="1"/>
  <c r="F4" i="25" s="1"/>
  <c r="V4" i="25" s="1"/>
  <c r="C12" i="18"/>
  <c r="D12" i="18"/>
  <c r="C11" i="18"/>
  <c r="D11" i="18"/>
  <c r="D10" i="18" s="1"/>
  <c r="H5" i="16" s="1"/>
  <c r="H5" i="25" s="1"/>
  <c r="X5" i="25" s="1"/>
  <c r="C15" i="17"/>
  <c r="C8" i="16" s="1"/>
  <c r="C8" i="25" s="1"/>
  <c r="S8" i="25" s="1"/>
  <c r="C14" i="17"/>
  <c r="C7" i="16" s="1"/>
  <c r="C7" i="25" s="1"/>
  <c r="S7" i="25" s="1"/>
  <c r="D33" i="17"/>
  <c r="D34" i="17"/>
  <c r="D26" i="16" s="1"/>
  <c r="D26" i="25" s="1"/>
  <c r="T26" i="25" s="1"/>
  <c r="D30" i="17"/>
  <c r="D22" i="16" s="1"/>
  <c r="D22" i="25" s="1"/>
  <c r="T22" i="25" s="1"/>
  <c r="D31" i="17"/>
  <c r="D23" i="16" s="1"/>
  <c r="D23" i="25" s="1"/>
  <c r="T23" i="25" s="1"/>
  <c r="D28" i="17"/>
  <c r="D20" i="16" s="1"/>
  <c r="D20" i="25" s="1"/>
  <c r="T20" i="25" s="1"/>
  <c r="D24" i="17"/>
  <c r="D16" i="16" s="1"/>
  <c r="D16" i="25" s="1"/>
  <c r="T16" i="25" s="1"/>
  <c r="D25" i="17"/>
  <c r="D21" i="17"/>
  <c r="D13" i="16" s="1"/>
  <c r="D13" i="25" s="1"/>
  <c r="T13" i="25" s="1"/>
  <c r="D22" i="17"/>
  <c r="D14" i="16" s="1"/>
  <c r="D14" i="25" s="1"/>
  <c r="T14" i="25" s="1"/>
  <c r="D19" i="17"/>
  <c r="D18" i="17"/>
  <c r="D10" i="16" s="1"/>
  <c r="D10" i="25" s="1"/>
  <c r="T10" i="25" s="1"/>
  <c r="C34" i="17"/>
  <c r="C26" i="16" s="1"/>
  <c r="C26" i="25" s="1"/>
  <c r="S26" i="25" s="1"/>
  <c r="C33" i="17"/>
  <c r="C25" i="16" s="1"/>
  <c r="C25" i="25" s="1"/>
  <c r="S25" i="25" s="1"/>
  <c r="C31" i="17"/>
  <c r="C23" i="16" s="1"/>
  <c r="C23" i="25" s="1"/>
  <c r="S23" i="25" s="1"/>
  <c r="C30" i="17"/>
  <c r="C22" i="16" s="1"/>
  <c r="C22" i="25" s="1"/>
  <c r="S22" i="25" s="1"/>
  <c r="C27" i="17"/>
  <c r="C19" i="16" s="1"/>
  <c r="C19" i="25" s="1"/>
  <c r="S19" i="25" s="1"/>
  <c r="C28" i="17"/>
  <c r="C20" i="16" s="1"/>
  <c r="C20" i="25" s="1"/>
  <c r="S20" i="25" s="1"/>
  <c r="C24" i="17"/>
  <c r="C25" i="17"/>
  <c r="C21" i="17"/>
  <c r="C13" i="16" s="1"/>
  <c r="C13" i="25" s="1"/>
  <c r="S13" i="25" s="1"/>
  <c r="C22" i="17"/>
  <c r="C14" i="16" s="1"/>
  <c r="C14" i="25" s="1"/>
  <c r="S14" i="25" s="1"/>
  <c r="C19" i="17"/>
  <c r="C11" i="16" s="1"/>
  <c r="C11" i="25" s="1"/>
  <c r="S11" i="25" s="1"/>
  <c r="C18" i="17"/>
  <c r="C10" i="16" s="1"/>
  <c r="C10" i="25" s="1"/>
  <c r="S10" i="25" s="1"/>
  <c r="B25" i="17"/>
  <c r="B24" i="17"/>
  <c r="B28" i="17"/>
  <c r="B20" i="16" s="1"/>
  <c r="B20" i="25" s="1"/>
  <c r="R20" i="25" s="1"/>
  <c r="B27" i="17"/>
  <c r="B19" i="16" s="1"/>
  <c r="B19" i="25" s="1"/>
  <c r="R19" i="25" s="1"/>
  <c r="B30" i="17"/>
  <c r="B22" i="16" s="1"/>
  <c r="B22" i="25" s="1"/>
  <c r="R22" i="25" s="1"/>
  <c r="B31" i="17"/>
  <c r="B23" i="16" s="1"/>
  <c r="B23" i="25" s="1"/>
  <c r="R23" i="25" s="1"/>
  <c r="B34" i="17"/>
  <c r="B22" i="17"/>
  <c r="B14" i="16" s="1"/>
  <c r="B14" i="25" s="1"/>
  <c r="R14" i="25" s="1"/>
  <c r="B21" i="17"/>
  <c r="B13" i="16" s="1"/>
  <c r="B13" i="25" s="1"/>
  <c r="R13" i="25" s="1"/>
  <c r="B19" i="17"/>
  <c r="B18" i="17"/>
  <c r="D15" i="17"/>
  <c r="D8" i="16" s="1"/>
  <c r="D8" i="25" s="1"/>
  <c r="T8" i="25" s="1"/>
  <c r="D14" i="17"/>
  <c r="D7" i="16" s="1"/>
  <c r="D7" i="25" s="1"/>
  <c r="T7" i="25" s="1"/>
  <c r="B15" i="17"/>
  <c r="B8" i="16" s="1"/>
  <c r="B8" i="25" s="1"/>
  <c r="R8" i="25" s="1"/>
  <c r="C11" i="17"/>
  <c r="B11" i="17"/>
  <c r="B33" i="17"/>
  <c r="B25" i="16" s="1"/>
  <c r="B25" i="25" s="1"/>
  <c r="R25" i="25" s="1"/>
  <c r="D27" i="17"/>
  <c r="D19" i="16" s="1"/>
  <c r="D19" i="25" s="1"/>
  <c r="T19" i="25" s="1"/>
  <c r="B14" i="17"/>
  <c r="C12" i="17"/>
  <c r="D12" i="17"/>
  <c r="B12" i="17"/>
  <c r="D11" i="17"/>
  <c r="D6" i="16" s="1"/>
  <c r="D6" i="25" s="1"/>
  <c r="T6" i="25" s="1"/>
  <c r="C8" i="17"/>
  <c r="D8" i="17"/>
  <c r="B8" i="17"/>
  <c r="C7" i="17"/>
  <c r="D7" i="17"/>
  <c r="B7" i="17"/>
  <c r="D4" i="17"/>
  <c r="C4" i="17"/>
  <c r="B4" i="17"/>
  <c r="D3" i="17"/>
  <c r="C3" i="17"/>
  <c r="B3" i="17"/>
  <c r="C29" i="18" l="1"/>
  <c r="G21" i="16" s="1"/>
  <c r="G21" i="25" s="1"/>
  <c r="W21" i="25" s="1"/>
  <c r="B5" i="17"/>
  <c r="B6" i="17" s="1"/>
  <c r="D10" i="17"/>
  <c r="D5" i="16" s="1"/>
  <c r="D5" i="25" s="1"/>
  <c r="T5" i="25" s="1"/>
  <c r="B14" i="18"/>
  <c r="F7" i="16" s="1"/>
  <c r="F7" i="25" s="1"/>
  <c r="V7" i="25" s="1"/>
  <c r="E31" i="18"/>
  <c r="D26" i="17"/>
  <c r="D18" i="16" s="1"/>
  <c r="D18" i="25" s="1"/>
  <c r="T18" i="25" s="1"/>
  <c r="E4" i="17"/>
  <c r="C10" i="18"/>
  <c r="G5" i="16" s="1"/>
  <c r="G5" i="25" s="1"/>
  <c r="W5" i="25" s="1"/>
  <c r="D37" i="18"/>
  <c r="H30" i="16" s="1"/>
  <c r="H30" i="25" s="1"/>
  <c r="X30" i="25" s="1"/>
  <c r="D36" i="18"/>
  <c r="H31" i="16" s="1"/>
  <c r="H31" i="25" s="1"/>
  <c r="X31" i="25" s="1"/>
  <c r="E12" i="18"/>
  <c r="B36" i="18"/>
  <c r="F31" i="16" s="1"/>
  <c r="F31" i="25" s="1"/>
  <c r="V31" i="25" s="1"/>
  <c r="E23" i="16"/>
  <c r="E23" i="25" s="1"/>
  <c r="U23" i="25" s="1"/>
  <c r="C15" i="18"/>
  <c r="G8" i="16" s="1"/>
  <c r="G8" i="25" s="1"/>
  <c r="W8" i="25" s="1"/>
  <c r="E8" i="17"/>
  <c r="D36" i="17"/>
  <c r="D31" i="16" s="1"/>
  <c r="D31" i="25" s="1"/>
  <c r="T31" i="25" s="1"/>
  <c r="C14" i="18"/>
  <c r="G7" i="16" s="1"/>
  <c r="G7" i="25" s="1"/>
  <c r="W7" i="25" s="1"/>
  <c r="C26" i="18"/>
  <c r="G18" i="16" s="1"/>
  <c r="G18" i="25" s="1"/>
  <c r="W18" i="25" s="1"/>
  <c r="L5" i="16"/>
  <c r="L5" i="25" s="1"/>
  <c r="AB5" i="25" s="1"/>
  <c r="E13" i="16"/>
  <c r="E13" i="25" s="1"/>
  <c r="U13" i="25" s="1"/>
  <c r="B37" i="17"/>
  <c r="B30" i="16" s="1"/>
  <c r="B30" i="25" s="1"/>
  <c r="R30" i="25" s="1"/>
  <c r="C5" i="18"/>
  <c r="E11" i="18"/>
  <c r="I6" i="16" s="1"/>
  <c r="I6" i="25" s="1"/>
  <c r="Y6" i="25" s="1"/>
  <c r="B10" i="18"/>
  <c r="B29" i="18"/>
  <c r="F21" i="16" s="1"/>
  <c r="F21" i="25" s="1"/>
  <c r="V21" i="25" s="1"/>
  <c r="D15" i="18"/>
  <c r="H8" i="16" s="1"/>
  <c r="H8" i="25" s="1"/>
  <c r="X8" i="25" s="1"/>
  <c r="B10" i="17"/>
  <c r="B5" i="16" s="1"/>
  <c r="B5" i="25" s="1"/>
  <c r="R5" i="25" s="1"/>
  <c r="B6" i="16"/>
  <c r="B6" i="25" s="1"/>
  <c r="R6" i="25" s="1"/>
  <c r="G23" i="17"/>
  <c r="G24" i="17" s="1"/>
  <c r="D37" i="17"/>
  <c r="D30" i="16" s="1"/>
  <c r="D30" i="25" s="1"/>
  <c r="T30" i="25" s="1"/>
  <c r="N27" i="16"/>
  <c r="N27" i="25" s="1"/>
  <c r="AD27" i="25" s="1"/>
  <c r="E19" i="18"/>
  <c r="D14" i="18"/>
  <c r="H7" i="16" s="1"/>
  <c r="H7" i="25" s="1"/>
  <c r="X7" i="25" s="1"/>
  <c r="I14" i="18"/>
  <c r="O7" i="16"/>
  <c r="O7" i="25" s="1"/>
  <c r="AE7" i="25" s="1"/>
  <c r="B15" i="18"/>
  <c r="E14" i="17"/>
  <c r="C10" i="17"/>
  <c r="C5" i="16" s="1"/>
  <c r="C5" i="25" s="1"/>
  <c r="S5" i="25" s="1"/>
  <c r="C6" i="16"/>
  <c r="C6" i="25" s="1"/>
  <c r="S6" i="25" s="1"/>
  <c r="B32" i="17"/>
  <c r="B24" i="16" s="1"/>
  <c r="B24" i="25" s="1"/>
  <c r="R24" i="25" s="1"/>
  <c r="B4" i="16"/>
  <c r="B4" i="25" s="1"/>
  <c r="R4" i="25" s="1"/>
  <c r="O27" i="16"/>
  <c r="O27" i="25" s="1"/>
  <c r="AE27" i="25" s="1"/>
  <c r="D20" i="18"/>
  <c r="H12" i="16" s="1"/>
  <c r="H12" i="25" s="1"/>
  <c r="X12" i="25" s="1"/>
  <c r="E12" i="17"/>
  <c r="C20" i="17"/>
  <c r="C12" i="16" s="1"/>
  <c r="C12" i="25" s="1"/>
  <c r="S12" i="25" s="1"/>
  <c r="B7" i="16"/>
  <c r="B7" i="25" s="1"/>
  <c r="R7" i="25" s="1"/>
  <c r="I4" i="16"/>
  <c r="I4" i="25" s="1"/>
  <c r="Y4" i="25" s="1"/>
  <c r="H3" i="18"/>
  <c r="I15" i="18"/>
  <c r="D32" i="18"/>
  <c r="H24" i="16" s="1"/>
  <c r="H24" i="25" s="1"/>
  <c r="X24" i="25" s="1"/>
  <c r="D29" i="18"/>
  <c r="D17" i="18"/>
  <c r="H9" i="16" s="1"/>
  <c r="H9" i="25" s="1"/>
  <c r="X9" i="25" s="1"/>
  <c r="C36" i="18"/>
  <c r="G31" i="16" s="1"/>
  <c r="G31" i="25" s="1"/>
  <c r="W31" i="25" s="1"/>
  <c r="C23" i="18"/>
  <c r="G15" i="16" s="1"/>
  <c r="G15" i="25" s="1"/>
  <c r="W15" i="25" s="1"/>
  <c r="C20" i="18"/>
  <c r="G12" i="16" s="1"/>
  <c r="G12" i="25" s="1"/>
  <c r="W12" i="25" s="1"/>
  <c r="B32" i="18"/>
  <c r="F24" i="16" s="1"/>
  <c r="F24" i="25" s="1"/>
  <c r="V24" i="25" s="1"/>
  <c r="B37" i="18"/>
  <c r="F30" i="16" s="1"/>
  <c r="F30" i="25" s="1"/>
  <c r="V30" i="25" s="1"/>
  <c r="E28" i="18"/>
  <c r="B26" i="18"/>
  <c r="F18" i="16" s="1"/>
  <c r="F18" i="25" s="1"/>
  <c r="V18" i="25" s="1"/>
  <c r="E27" i="18"/>
  <c r="B23" i="18"/>
  <c r="F15" i="16" s="1"/>
  <c r="F15" i="25" s="1"/>
  <c r="V15" i="25" s="1"/>
  <c r="E24" i="18"/>
  <c r="B20" i="18"/>
  <c r="F12" i="16" s="1"/>
  <c r="F12" i="25" s="1"/>
  <c r="V12" i="25" s="1"/>
  <c r="C17" i="18"/>
  <c r="G9" i="16" s="1"/>
  <c r="G9" i="25" s="1"/>
  <c r="W9" i="25" s="1"/>
  <c r="E7" i="18"/>
  <c r="E3" i="18"/>
  <c r="D5" i="18"/>
  <c r="E4" i="18"/>
  <c r="F25" i="17"/>
  <c r="F26" i="17" s="1"/>
  <c r="B11" i="16"/>
  <c r="B11" i="25" s="1"/>
  <c r="R11" i="25" s="1"/>
  <c r="B23" i="17"/>
  <c r="B16" i="16"/>
  <c r="B16" i="25" s="1"/>
  <c r="R16" i="25" s="1"/>
  <c r="B36" i="17"/>
  <c r="G25" i="17"/>
  <c r="G26" i="17" s="1"/>
  <c r="E8" i="18"/>
  <c r="E14" i="16"/>
  <c r="E14" i="25" s="1"/>
  <c r="U14" i="25" s="1"/>
  <c r="D25" i="16"/>
  <c r="D25" i="25" s="1"/>
  <c r="T25" i="25" s="1"/>
  <c r="E18" i="18"/>
  <c r="B17" i="18"/>
  <c r="E25" i="18"/>
  <c r="D23" i="18"/>
  <c r="E33" i="18"/>
  <c r="C32" i="18"/>
  <c r="G24" i="16" s="1"/>
  <c r="G24" i="25" s="1"/>
  <c r="W24" i="25" s="1"/>
  <c r="E19" i="16"/>
  <c r="E19" i="25" s="1"/>
  <c r="U19" i="25" s="1"/>
  <c r="C5" i="17"/>
  <c r="E3" i="17"/>
  <c r="C4" i="16"/>
  <c r="C4" i="25" s="1"/>
  <c r="S4" i="25" s="1"/>
  <c r="E21" i="18"/>
  <c r="D5" i="17"/>
  <c r="D4" i="16"/>
  <c r="D4" i="25" s="1"/>
  <c r="T4" i="25" s="1"/>
  <c r="E22" i="16"/>
  <c r="E22" i="25" s="1"/>
  <c r="U22" i="25" s="1"/>
  <c r="B3" i="16"/>
  <c r="B3" i="25" s="1"/>
  <c r="R3" i="25" s="1"/>
  <c r="C37" i="17"/>
  <c r="C30" i="16" s="1"/>
  <c r="C30" i="25" s="1"/>
  <c r="S30" i="25" s="1"/>
  <c r="E30" i="18"/>
  <c r="B17" i="17"/>
  <c r="B9" i="16" s="1"/>
  <c r="B9" i="25" s="1"/>
  <c r="R9" i="25" s="1"/>
  <c r="E18" i="17"/>
  <c r="B10" i="16"/>
  <c r="B10" i="25" s="1"/>
  <c r="R10" i="25" s="1"/>
  <c r="F23" i="17"/>
  <c r="F24" i="17" s="1"/>
  <c r="E20" i="16"/>
  <c r="E20" i="25" s="1"/>
  <c r="U20" i="25" s="1"/>
  <c r="C16" i="16"/>
  <c r="C16" i="25" s="1"/>
  <c r="S16" i="25" s="1"/>
  <c r="C36" i="17"/>
  <c r="C31" i="16" s="1"/>
  <c r="C31" i="25" s="1"/>
  <c r="S31" i="25" s="1"/>
  <c r="H25" i="17"/>
  <c r="H26" i="17" s="1"/>
  <c r="D11" i="16"/>
  <c r="D11" i="25" s="1"/>
  <c r="T11" i="25" s="1"/>
  <c r="C37" i="18"/>
  <c r="G30" i="16" s="1"/>
  <c r="G30" i="25" s="1"/>
  <c r="W30" i="25" s="1"/>
  <c r="E22" i="18"/>
  <c r="H23" i="17"/>
  <c r="H24" i="17" s="1"/>
  <c r="B5" i="18"/>
  <c r="E34" i="18"/>
  <c r="B17" i="16"/>
  <c r="B17" i="25" s="1"/>
  <c r="R17" i="25" s="1"/>
  <c r="B26" i="16"/>
  <c r="B26" i="25" s="1"/>
  <c r="R26" i="25" s="1"/>
  <c r="D17" i="16"/>
  <c r="D17" i="25" s="1"/>
  <c r="T17" i="25" s="1"/>
  <c r="D26" i="18"/>
  <c r="B26" i="17"/>
  <c r="B18" i="16" s="1"/>
  <c r="B18" i="25" s="1"/>
  <c r="R18" i="25" s="1"/>
  <c r="C17" i="16"/>
  <c r="C17" i="25" s="1"/>
  <c r="S17" i="25" s="1"/>
  <c r="E8" i="16"/>
  <c r="E8" i="25" s="1"/>
  <c r="U8" i="25" s="1"/>
  <c r="D32" i="17"/>
  <c r="D24" i="16" s="1"/>
  <c r="D24" i="25" s="1"/>
  <c r="T24" i="25" s="1"/>
  <c r="D29" i="17"/>
  <c r="D21" i="16" s="1"/>
  <c r="D21" i="25" s="1"/>
  <c r="T21" i="25" s="1"/>
  <c r="D23" i="17"/>
  <c r="D15" i="16" s="1"/>
  <c r="D15" i="25" s="1"/>
  <c r="T15" i="25" s="1"/>
  <c r="E25" i="17"/>
  <c r="D20" i="17"/>
  <c r="D12" i="16" s="1"/>
  <c r="D12" i="25" s="1"/>
  <c r="T12" i="25" s="1"/>
  <c r="E19" i="17"/>
  <c r="D17" i="17"/>
  <c r="D9" i="16" s="1"/>
  <c r="D9" i="25" s="1"/>
  <c r="T9" i="25" s="1"/>
  <c r="C32" i="17"/>
  <c r="C24" i="16" s="1"/>
  <c r="C24" i="25" s="1"/>
  <c r="S24" i="25" s="1"/>
  <c r="E33" i="17"/>
  <c r="C29" i="17"/>
  <c r="C21" i="16" s="1"/>
  <c r="C21" i="25" s="1"/>
  <c r="S21" i="25" s="1"/>
  <c r="E30" i="17"/>
  <c r="C26" i="17"/>
  <c r="C18" i="16" s="1"/>
  <c r="C18" i="25" s="1"/>
  <c r="S18" i="25" s="1"/>
  <c r="E28" i="17"/>
  <c r="C23" i="17"/>
  <c r="C15" i="16" s="1"/>
  <c r="C15" i="25" s="1"/>
  <c r="S15" i="25" s="1"/>
  <c r="E22" i="17"/>
  <c r="C17" i="17"/>
  <c r="C9" i="16" s="1"/>
  <c r="C9" i="25" s="1"/>
  <c r="S9" i="25" s="1"/>
  <c r="E24" i="17"/>
  <c r="E27" i="17"/>
  <c r="B29" i="17"/>
  <c r="B21" i="16" s="1"/>
  <c r="B21" i="25" s="1"/>
  <c r="R21" i="25" s="1"/>
  <c r="E31" i="17"/>
  <c r="E34" i="17"/>
  <c r="B20" i="17"/>
  <c r="E21" i="17"/>
  <c r="E15" i="17"/>
  <c r="E11" i="17"/>
  <c r="E7" i="17"/>
  <c r="F14" i="17" l="1"/>
  <c r="K7" i="16"/>
  <c r="K7" i="25" s="1"/>
  <c r="AA7" i="25" s="1"/>
  <c r="E36" i="18"/>
  <c r="E24" i="16"/>
  <c r="E24" i="25" s="1"/>
  <c r="U24" i="25" s="1"/>
  <c r="L7" i="16"/>
  <c r="L7" i="25" s="1"/>
  <c r="AB7" i="25" s="1"/>
  <c r="E6" i="16"/>
  <c r="E6" i="25" s="1"/>
  <c r="U6" i="25" s="1"/>
  <c r="I31" i="16"/>
  <c r="I31" i="25" s="1"/>
  <c r="Y31" i="25" s="1"/>
  <c r="E30" i="16"/>
  <c r="E30" i="25" s="1"/>
  <c r="U30" i="25" s="1"/>
  <c r="J30" i="16"/>
  <c r="J30" i="25" s="1"/>
  <c r="Z30" i="25" s="1"/>
  <c r="L31" i="16"/>
  <c r="L31" i="25" s="1"/>
  <c r="AB31" i="25" s="1"/>
  <c r="I24" i="16"/>
  <c r="I24" i="25" s="1"/>
  <c r="Y24" i="25" s="1"/>
  <c r="O28" i="16"/>
  <c r="O28" i="25" s="1"/>
  <c r="AE28" i="25" s="1"/>
  <c r="I12" i="16"/>
  <c r="I12" i="25" s="1"/>
  <c r="Y12" i="25" s="1"/>
  <c r="E18" i="16"/>
  <c r="E18" i="25" s="1"/>
  <c r="U18" i="25" s="1"/>
  <c r="J18" i="16"/>
  <c r="J18" i="25" s="1"/>
  <c r="Z18" i="25" s="1"/>
  <c r="K18" i="16"/>
  <c r="K18" i="25" s="1"/>
  <c r="AA18" i="25" s="1"/>
  <c r="E10" i="16"/>
  <c r="E10" i="25" s="1"/>
  <c r="U10" i="25" s="1"/>
  <c r="D32" i="16"/>
  <c r="D32" i="25" s="1"/>
  <c r="T32" i="25" s="1"/>
  <c r="J4" i="16"/>
  <c r="J4" i="25" s="1"/>
  <c r="Z4" i="25" s="1"/>
  <c r="F8" i="16"/>
  <c r="F8" i="25" s="1"/>
  <c r="V8" i="25" s="1"/>
  <c r="E15" i="18"/>
  <c r="I8" i="16" s="1"/>
  <c r="I8" i="25" s="1"/>
  <c r="Y8" i="25" s="1"/>
  <c r="E10" i="18"/>
  <c r="F5" i="16"/>
  <c r="F5" i="25" s="1"/>
  <c r="V5" i="25" s="1"/>
  <c r="F3" i="16"/>
  <c r="F3" i="25" s="1"/>
  <c r="V3" i="25" s="1"/>
  <c r="B6" i="18"/>
  <c r="E21" i="16"/>
  <c r="E21" i="25" s="1"/>
  <c r="U21" i="25" s="1"/>
  <c r="J21" i="16"/>
  <c r="J21" i="25" s="1"/>
  <c r="Z21" i="25" s="1"/>
  <c r="E26" i="18"/>
  <c r="H18" i="16"/>
  <c r="H18" i="25" s="1"/>
  <c r="X18" i="25" s="1"/>
  <c r="G32" i="16"/>
  <c r="G32" i="25" s="1"/>
  <c r="W32" i="25" s="1"/>
  <c r="E23" i="18"/>
  <c r="H15" i="16"/>
  <c r="H15" i="25" s="1"/>
  <c r="X15" i="25" s="1"/>
  <c r="E7" i="16"/>
  <c r="E7" i="25" s="1"/>
  <c r="U7" i="25" s="1"/>
  <c r="J7" i="16"/>
  <c r="J7" i="25" s="1"/>
  <c r="Z7" i="25" s="1"/>
  <c r="J24" i="16"/>
  <c r="J24" i="25" s="1"/>
  <c r="Z24" i="25" s="1"/>
  <c r="N28" i="16"/>
  <c r="N28" i="25" s="1"/>
  <c r="AD28" i="25" s="1"/>
  <c r="I6" i="19"/>
  <c r="Y6" i="19" s="1"/>
  <c r="L12" i="16"/>
  <c r="L12" i="25" s="1"/>
  <c r="AB12" i="25" s="1"/>
  <c r="H7" i="19"/>
  <c r="X7" i="19" s="1"/>
  <c r="K21" i="16"/>
  <c r="K21" i="25" s="1"/>
  <c r="AA21" i="25" s="1"/>
  <c r="E9" i="16"/>
  <c r="E9" i="25" s="1"/>
  <c r="U9" i="25" s="1"/>
  <c r="D6" i="18"/>
  <c r="H3" i="16"/>
  <c r="H3" i="25" s="1"/>
  <c r="X3" i="25" s="1"/>
  <c r="E29" i="18"/>
  <c r="H21" i="16"/>
  <c r="H21" i="25" s="1"/>
  <c r="X21" i="25" s="1"/>
  <c r="K12" i="16"/>
  <c r="K12" i="25" s="1"/>
  <c r="AA12" i="25" s="1"/>
  <c r="C6" i="18"/>
  <c r="G3" i="16"/>
  <c r="G3" i="25" s="1"/>
  <c r="W3" i="25" s="1"/>
  <c r="E14" i="18"/>
  <c r="K15" i="16"/>
  <c r="K15" i="25" s="1"/>
  <c r="AA15" i="25" s="1"/>
  <c r="L4" i="16"/>
  <c r="L4" i="25" s="1"/>
  <c r="AB4" i="25" s="1"/>
  <c r="L30" i="16"/>
  <c r="L30" i="25" s="1"/>
  <c r="AB30" i="25" s="1"/>
  <c r="F8" i="17"/>
  <c r="K4" i="16"/>
  <c r="K4" i="25" s="1"/>
  <c r="AA4" i="25" s="1"/>
  <c r="L24" i="16"/>
  <c r="L24" i="25" s="1"/>
  <c r="AB24" i="25" s="1"/>
  <c r="E26" i="16"/>
  <c r="E26" i="25" s="1"/>
  <c r="U26" i="25" s="1"/>
  <c r="E17" i="18"/>
  <c r="F9" i="16"/>
  <c r="F9" i="25" s="1"/>
  <c r="V9" i="25" s="1"/>
  <c r="E16" i="16"/>
  <c r="E16" i="25" s="1"/>
  <c r="U16" i="25" s="1"/>
  <c r="K5" i="16"/>
  <c r="K5" i="25" s="1"/>
  <c r="AA5" i="25" s="1"/>
  <c r="E37" i="18"/>
  <c r="L9" i="16"/>
  <c r="L9" i="25" s="1"/>
  <c r="AB9" i="25" s="1"/>
  <c r="E25" i="16"/>
  <c r="E25" i="25" s="1"/>
  <c r="U25" i="25" s="1"/>
  <c r="K9" i="16"/>
  <c r="K9" i="25" s="1"/>
  <c r="AA9" i="25" s="1"/>
  <c r="K24" i="16"/>
  <c r="K24" i="25" s="1"/>
  <c r="AA24" i="25" s="1"/>
  <c r="K31" i="16"/>
  <c r="K31" i="25" s="1"/>
  <c r="AA31" i="25" s="1"/>
  <c r="K30" i="16"/>
  <c r="K30" i="25" s="1"/>
  <c r="AA30" i="25" s="1"/>
  <c r="I30" i="16"/>
  <c r="I30" i="25" s="1"/>
  <c r="Y30" i="25" s="1"/>
  <c r="F32" i="16"/>
  <c r="F32" i="25" s="1"/>
  <c r="V32" i="25" s="1"/>
  <c r="K8" i="16"/>
  <c r="K8" i="25" s="1"/>
  <c r="AA8" i="25" s="1"/>
  <c r="E5" i="16"/>
  <c r="E5" i="25" s="1"/>
  <c r="U5" i="25" s="1"/>
  <c r="L8" i="16"/>
  <c r="L8" i="25" s="1"/>
  <c r="AB8" i="25" s="1"/>
  <c r="H32" i="16"/>
  <c r="H32" i="25" s="1"/>
  <c r="X32" i="25" s="1"/>
  <c r="J17" i="18"/>
  <c r="J18" i="18" s="1"/>
  <c r="E32" i="18"/>
  <c r="I17" i="18"/>
  <c r="I18" i="18" s="1"/>
  <c r="H17" i="18"/>
  <c r="H18" i="18" s="1"/>
  <c r="E20" i="18"/>
  <c r="H7" i="18"/>
  <c r="B31" i="16"/>
  <c r="B31" i="25" s="1"/>
  <c r="R31" i="25" s="1"/>
  <c r="E36" i="17"/>
  <c r="B32" i="16"/>
  <c r="B32" i="25" s="1"/>
  <c r="R32" i="25" s="1"/>
  <c r="E5" i="18"/>
  <c r="I5" i="18" s="1"/>
  <c r="F20" i="17"/>
  <c r="F21" i="17" s="1"/>
  <c r="B15" i="16"/>
  <c r="B15" i="25" s="1"/>
  <c r="R15" i="25" s="1"/>
  <c r="B28" i="16"/>
  <c r="B28" i="25" s="1"/>
  <c r="R28" i="25" s="1"/>
  <c r="B27" i="16"/>
  <c r="B27" i="25" s="1"/>
  <c r="R27" i="25" s="1"/>
  <c r="E11" i="16"/>
  <c r="E11" i="25" s="1"/>
  <c r="U11" i="25" s="1"/>
  <c r="B12" i="16"/>
  <c r="B12" i="25" s="1"/>
  <c r="R12" i="25" s="1"/>
  <c r="C6" i="17"/>
  <c r="C3" i="16"/>
  <c r="C3" i="25" s="1"/>
  <c r="S3" i="25" s="1"/>
  <c r="E5" i="17"/>
  <c r="E6" i="17" s="1"/>
  <c r="E4" i="16"/>
  <c r="E4" i="25" s="1"/>
  <c r="U4" i="25" s="1"/>
  <c r="C32" i="16"/>
  <c r="C32" i="25" s="1"/>
  <c r="S32" i="25" s="1"/>
  <c r="E17" i="16"/>
  <c r="E17" i="25" s="1"/>
  <c r="U17" i="25" s="1"/>
  <c r="D6" i="17"/>
  <c r="D3" i="16"/>
  <c r="D3" i="25" s="1"/>
  <c r="T3" i="25" s="1"/>
  <c r="E37" i="17"/>
  <c r="E29" i="17"/>
  <c r="E23" i="17"/>
  <c r="H20" i="17"/>
  <c r="H21" i="17" s="1"/>
  <c r="E20" i="17"/>
  <c r="E17" i="17"/>
  <c r="E32" i="17"/>
  <c r="E26" i="17"/>
  <c r="G20" i="17"/>
  <c r="G21" i="17" s="1"/>
  <c r="E10" i="17"/>
  <c r="F10" i="17" l="1"/>
  <c r="L21" i="16"/>
  <c r="L21" i="25" s="1"/>
  <c r="AB21" i="25" s="1"/>
  <c r="E6" i="18"/>
  <c r="J3" i="16"/>
  <c r="J3" i="25" s="1"/>
  <c r="Z3" i="25" s="1"/>
  <c r="I18" i="16"/>
  <c r="I18" i="25" s="1"/>
  <c r="Y18" i="25" s="1"/>
  <c r="J5" i="16"/>
  <c r="J5" i="25" s="1"/>
  <c r="Z5" i="25" s="1"/>
  <c r="M8" i="16"/>
  <c r="M8" i="25" s="1"/>
  <c r="AC8" i="25" s="1"/>
  <c r="M24" i="16"/>
  <c r="M24" i="25" s="1"/>
  <c r="AC24" i="25" s="1"/>
  <c r="J9" i="16"/>
  <c r="J9" i="25" s="1"/>
  <c r="Z9" i="25" s="1"/>
  <c r="M6" i="16"/>
  <c r="M6" i="25" s="1"/>
  <c r="AC6" i="25" s="1"/>
  <c r="E32" i="16"/>
  <c r="E32" i="25" s="1"/>
  <c r="U32" i="25" s="1"/>
  <c r="I21" i="16"/>
  <c r="I21" i="25" s="1"/>
  <c r="Y21" i="25" s="1"/>
  <c r="H27" i="16"/>
  <c r="H27" i="25" s="1"/>
  <c r="X27" i="25" s="1"/>
  <c r="K32" i="16"/>
  <c r="K32" i="25" s="1"/>
  <c r="AA32" i="25" s="1"/>
  <c r="E15" i="16"/>
  <c r="E15" i="25" s="1"/>
  <c r="U15" i="25" s="1"/>
  <c r="J15" i="16"/>
  <c r="J15" i="25" s="1"/>
  <c r="Z15" i="25" s="1"/>
  <c r="G27" i="16"/>
  <c r="G27" i="25" s="1"/>
  <c r="W27" i="25" s="1"/>
  <c r="J8" i="16"/>
  <c r="J8" i="25" s="1"/>
  <c r="Z8" i="25" s="1"/>
  <c r="K3" i="16"/>
  <c r="K3" i="25" s="1"/>
  <c r="AA3" i="25" s="1"/>
  <c r="L32" i="16"/>
  <c r="L32" i="25" s="1"/>
  <c r="AB32" i="25" s="1"/>
  <c r="L3" i="16"/>
  <c r="L3" i="25" s="1"/>
  <c r="AB3" i="25" s="1"/>
  <c r="E12" i="16"/>
  <c r="E12" i="25" s="1"/>
  <c r="U12" i="25" s="1"/>
  <c r="J12" i="16"/>
  <c r="J12" i="25" s="1"/>
  <c r="Z12" i="25" s="1"/>
  <c r="J32" i="16"/>
  <c r="J32" i="25" s="1"/>
  <c r="Z32" i="25" s="1"/>
  <c r="I32" i="16"/>
  <c r="I32" i="25" s="1"/>
  <c r="Y32" i="25" s="1"/>
  <c r="L15" i="16"/>
  <c r="L15" i="25" s="1"/>
  <c r="AB15" i="25" s="1"/>
  <c r="E31" i="16"/>
  <c r="E31" i="25" s="1"/>
  <c r="U31" i="25" s="1"/>
  <c r="J31" i="16"/>
  <c r="J31" i="25" s="1"/>
  <c r="Z31" i="25" s="1"/>
  <c r="I5" i="16"/>
  <c r="I5" i="25" s="1"/>
  <c r="Y5" i="25" s="1"/>
  <c r="I9" i="16"/>
  <c r="I9" i="25" s="1"/>
  <c r="Y9" i="25" s="1"/>
  <c r="I15" i="16"/>
  <c r="I15" i="25" s="1"/>
  <c r="Y15" i="25" s="1"/>
  <c r="M4" i="16"/>
  <c r="M4" i="25" s="1"/>
  <c r="AC4" i="25" s="1"/>
  <c r="L18" i="16"/>
  <c r="L18" i="25" s="1"/>
  <c r="AB18" i="25" s="1"/>
  <c r="I7" i="16"/>
  <c r="I7" i="25" s="1"/>
  <c r="Y7" i="25" s="1"/>
  <c r="H14" i="18"/>
  <c r="F27" i="16"/>
  <c r="F27" i="25" s="1"/>
  <c r="V27" i="25" s="1"/>
  <c r="I3" i="16"/>
  <c r="I3" i="25" s="1"/>
  <c r="Y3" i="25" s="1"/>
  <c r="M30" i="16"/>
  <c r="M30" i="25" s="1"/>
  <c r="AC30" i="25" s="1"/>
  <c r="K17" i="18"/>
  <c r="C28" i="16"/>
  <c r="C28" i="25" s="1"/>
  <c r="S28" i="25" s="1"/>
  <c r="C27" i="16"/>
  <c r="C27" i="25" s="1"/>
  <c r="S27" i="25" s="1"/>
  <c r="D28" i="16"/>
  <c r="D28" i="25" s="1"/>
  <c r="T28" i="25" s="1"/>
  <c r="D27" i="16"/>
  <c r="D27" i="25" s="1"/>
  <c r="T27" i="25" s="1"/>
  <c r="E3" i="16"/>
  <c r="E3" i="25" s="1"/>
  <c r="U3" i="25" s="1"/>
  <c r="F17" i="17"/>
  <c r="G17" i="17" s="1"/>
  <c r="M9" i="16" l="1"/>
  <c r="M9" i="25" s="1"/>
  <c r="AC9" i="25" s="1"/>
  <c r="D35" i="21"/>
  <c r="C35" i="21"/>
  <c r="M18" i="16"/>
  <c r="M18" i="25" s="1"/>
  <c r="AC18" i="25" s="1"/>
  <c r="J27" i="16"/>
  <c r="J27" i="25" s="1"/>
  <c r="Z27" i="25" s="1"/>
  <c r="M5" i="16"/>
  <c r="M5" i="25" s="1"/>
  <c r="AC5" i="25" s="1"/>
  <c r="B35" i="21"/>
  <c r="E27" i="16"/>
  <c r="E27" i="25" s="1"/>
  <c r="U27" i="25" s="1"/>
  <c r="M21" i="16"/>
  <c r="M21" i="25" s="1"/>
  <c r="AC21" i="25" s="1"/>
  <c r="M3" i="16"/>
  <c r="M3" i="25" s="1"/>
  <c r="AC3" i="25" s="1"/>
  <c r="M31" i="16"/>
  <c r="M31" i="25" s="1"/>
  <c r="AC31" i="25" s="1"/>
  <c r="G28" i="16"/>
  <c r="G28" i="25" s="1"/>
  <c r="W28" i="25" s="1"/>
  <c r="E28" i="16"/>
  <c r="E28" i="25" s="1"/>
  <c r="U28" i="25" s="1"/>
  <c r="M15" i="16"/>
  <c r="M15" i="25" s="1"/>
  <c r="AC15" i="25" s="1"/>
  <c r="L27" i="16"/>
  <c r="L27" i="25" s="1"/>
  <c r="AB27" i="25" s="1"/>
  <c r="I27" i="16"/>
  <c r="I27" i="25" s="1"/>
  <c r="Y27" i="25" s="1"/>
  <c r="F28" i="16"/>
  <c r="F28" i="25" s="1"/>
  <c r="V28" i="25" s="1"/>
  <c r="H28" i="16"/>
  <c r="H28" i="25" s="1"/>
  <c r="X28" i="25" s="1"/>
  <c r="M12" i="16"/>
  <c r="M12" i="25" s="1"/>
  <c r="AC12" i="25" s="1"/>
  <c r="K27" i="16"/>
  <c r="K27" i="25" s="1"/>
  <c r="AA27" i="25" s="1"/>
  <c r="M7" i="16"/>
  <c r="M7" i="25" s="1"/>
  <c r="AC7" i="25" s="1"/>
  <c r="M32" i="16"/>
  <c r="M32" i="25" s="1"/>
  <c r="AC32" i="25" s="1"/>
  <c r="H15" i="18"/>
  <c r="K28" i="16" l="1"/>
  <c r="K28" i="25" s="1"/>
  <c r="AA28" i="25" s="1"/>
  <c r="L28" i="16"/>
  <c r="L28" i="25" s="1"/>
  <c r="AB28" i="25" s="1"/>
  <c r="J28" i="16"/>
  <c r="J28" i="25" s="1"/>
  <c r="Z28" i="25" s="1"/>
  <c r="I28" i="16"/>
  <c r="I28" i="25" s="1"/>
  <c r="Y28" i="25" s="1"/>
  <c r="M27" i="16"/>
  <c r="M27" i="25" s="1"/>
  <c r="AC27" i="25" s="1"/>
  <c r="M11" i="15"/>
  <c r="M28" i="16" l="1"/>
  <c r="M28" i="25" s="1"/>
  <c r="AC28" i="25" s="1"/>
  <c r="AA36" i="15"/>
  <c r="AN26" i="14"/>
  <c r="AI27" i="14"/>
  <c r="AI26" i="14"/>
  <c r="AC28" i="15"/>
  <c r="AC23" i="15"/>
  <c r="AD25" i="15" l="1"/>
  <c r="AI28" i="14"/>
  <c r="AN28" i="14"/>
  <c r="AI29" i="14" l="1"/>
  <c r="N25" i="15"/>
  <c r="N24" i="15"/>
  <c r="N23" i="15" l="1"/>
  <c r="M7" i="15"/>
  <c r="Q14" i="14" l="1"/>
  <c r="S36" i="14"/>
  <c r="R37" i="14"/>
  <c r="R36" i="14"/>
  <c r="Q37" i="14"/>
  <c r="Q36" i="14"/>
  <c r="S34" i="14"/>
  <c r="S33" i="14"/>
  <c r="R34" i="14"/>
  <c r="R33" i="14"/>
  <c r="Q34" i="14"/>
  <c r="Q33" i="14"/>
  <c r="S31" i="14"/>
  <c r="S30" i="14"/>
  <c r="R31" i="14"/>
  <c r="R30" i="14"/>
  <c r="Q31" i="14"/>
  <c r="Q30" i="14"/>
  <c r="S28" i="14"/>
  <c r="S27" i="14"/>
  <c r="R28" i="14"/>
  <c r="R27" i="14"/>
  <c r="Q28" i="14"/>
  <c r="Q27" i="14"/>
  <c r="S25" i="14"/>
  <c r="S24" i="14"/>
  <c r="R25" i="14"/>
  <c r="R24" i="14"/>
  <c r="Q25" i="14"/>
  <c r="Q24" i="14"/>
  <c r="S22" i="14"/>
  <c r="S21" i="14"/>
  <c r="R22" i="14"/>
  <c r="R21" i="14"/>
  <c r="Q22" i="14"/>
  <c r="Q21" i="14"/>
  <c r="R19" i="14"/>
  <c r="S19" i="14"/>
  <c r="S18" i="14"/>
  <c r="R18" i="14"/>
  <c r="Q19" i="14"/>
  <c r="Q18" i="14"/>
  <c r="Q12" i="14"/>
  <c r="R12" i="14"/>
  <c r="S12" i="14"/>
  <c r="S11" i="14"/>
  <c r="R11" i="14"/>
  <c r="Q11" i="14"/>
  <c r="S8" i="14"/>
  <c r="S7" i="14"/>
  <c r="R8" i="14"/>
  <c r="R7" i="14"/>
  <c r="Q3" i="14"/>
  <c r="S3" i="14"/>
  <c r="S4" i="14"/>
  <c r="S5" i="14" s="1"/>
  <c r="R4" i="14"/>
  <c r="R3" i="14"/>
  <c r="Q4" i="14"/>
  <c r="M19" i="15"/>
  <c r="N28" i="15"/>
  <c r="N19" i="15"/>
  <c r="N22" i="15"/>
  <c r="B7" i="2"/>
  <c r="B6" i="19" s="1"/>
  <c r="R6" i="19" s="1"/>
  <c r="N18" i="15"/>
  <c r="M18" i="15"/>
  <c r="N12" i="15"/>
  <c r="M31" i="15"/>
  <c r="M24" i="15"/>
  <c r="B17" i="2" s="1"/>
  <c r="B16" i="19" s="1"/>
  <c r="R16" i="19" s="1"/>
  <c r="O21" i="15"/>
  <c r="O37" i="15"/>
  <c r="N37" i="15"/>
  <c r="M37" i="15"/>
  <c r="O36" i="15"/>
  <c r="N36" i="15"/>
  <c r="M36" i="15"/>
  <c r="O34" i="15"/>
  <c r="N34" i="15"/>
  <c r="M34" i="15"/>
  <c r="O33" i="15"/>
  <c r="N33" i="15"/>
  <c r="M33" i="15"/>
  <c r="O31" i="15"/>
  <c r="N31" i="15"/>
  <c r="O30" i="15"/>
  <c r="N30" i="15"/>
  <c r="M30" i="15"/>
  <c r="O28" i="15"/>
  <c r="O27" i="15"/>
  <c r="N27" i="15"/>
  <c r="M28" i="15"/>
  <c r="M27" i="15"/>
  <c r="O22" i="15"/>
  <c r="N21" i="15"/>
  <c r="M22" i="15"/>
  <c r="M21" i="15"/>
  <c r="M25" i="15"/>
  <c r="O25" i="15"/>
  <c r="O24" i="15"/>
  <c r="O19" i="15"/>
  <c r="O18" i="15"/>
  <c r="O11" i="15"/>
  <c r="N11" i="15"/>
  <c r="M12" i="15"/>
  <c r="M10" i="15" s="1"/>
  <c r="B6" i="2" s="1"/>
  <c r="B5" i="19" s="1"/>
  <c r="R5" i="19" s="1"/>
  <c r="O12" i="15"/>
  <c r="O8" i="15"/>
  <c r="N8" i="15"/>
  <c r="M8" i="15"/>
  <c r="O7" i="15"/>
  <c r="N7" i="15"/>
  <c r="D22" i="15"/>
  <c r="O4" i="15"/>
  <c r="N4" i="15"/>
  <c r="M4" i="15"/>
  <c r="O3" i="15"/>
  <c r="N3" i="15"/>
  <c r="M3" i="15"/>
  <c r="D10" i="15"/>
  <c r="P7" i="15" l="1"/>
  <c r="N5" i="15"/>
  <c r="N6" i="15" s="1"/>
  <c r="R5" i="14"/>
  <c r="Q10" i="14"/>
  <c r="O20" i="15"/>
  <c r="O5" i="15"/>
  <c r="O6" i="15" s="1"/>
  <c r="P37" i="15"/>
  <c r="O10" i="15"/>
  <c r="O17" i="15"/>
  <c r="R36" i="15"/>
  <c r="R38" i="15" s="1"/>
  <c r="P11" i="15"/>
  <c r="O41" i="15"/>
  <c r="P36" i="15"/>
  <c r="N14" i="15"/>
  <c r="C8" i="2" s="1"/>
  <c r="C7" i="19" s="1"/>
  <c r="S7" i="19" s="1"/>
  <c r="O23" i="15"/>
  <c r="Q5" i="14"/>
  <c r="F4" i="2" s="1"/>
  <c r="F3" i="19" s="1"/>
  <c r="V3" i="19" s="1"/>
  <c r="S37" i="15"/>
  <c r="S39" i="15" s="1"/>
  <c r="M40" i="15"/>
  <c r="M17" i="15"/>
  <c r="P4" i="15"/>
  <c r="M14" i="15"/>
  <c r="B8" i="2" s="1"/>
  <c r="B7" i="19" s="1"/>
  <c r="R7" i="19" s="1"/>
  <c r="P3" i="15"/>
  <c r="Q36" i="15"/>
  <c r="Q38" i="15" s="1"/>
  <c r="N40" i="15"/>
  <c r="P8" i="15"/>
  <c r="Q7" i="15" s="1"/>
  <c r="N20" i="15"/>
  <c r="O40" i="15"/>
  <c r="M15" i="15"/>
  <c r="M5" i="15"/>
  <c r="M6" i="15" s="1"/>
  <c r="S36" i="15"/>
  <c r="S38" i="15" s="1"/>
  <c r="Q37" i="15"/>
  <c r="Q39" i="15" s="1"/>
  <c r="O15" i="15"/>
  <c r="N10" i="15"/>
  <c r="N41" i="15"/>
  <c r="N15" i="15"/>
  <c r="C9" i="2" s="1"/>
  <c r="C8" i="19" s="1"/>
  <c r="S8" i="19" s="1"/>
  <c r="P19" i="15"/>
  <c r="O14" i="15"/>
  <c r="T4" i="14"/>
  <c r="M20" i="15"/>
  <c r="M41" i="15"/>
  <c r="T3" i="14"/>
  <c r="B5" i="2"/>
  <c r="B4" i="19" s="1"/>
  <c r="R4" i="19" s="1"/>
  <c r="R37" i="15"/>
  <c r="R39" i="15" s="1"/>
  <c r="N17" i="15"/>
  <c r="M23" i="15"/>
  <c r="P18" i="15"/>
  <c r="P38" i="15" l="1"/>
  <c r="Q3" i="15"/>
  <c r="P14" i="15"/>
  <c r="Q17" i="15"/>
  <c r="P10" i="15"/>
  <c r="C6" i="2"/>
  <c r="C5" i="19" s="1"/>
  <c r="S5" i="19" s="1"/>
  <c r="O16" i="15"/>
  <c r="B4" i="2"/>
  <c r="P15" i="15"/>
  <c r="M16" i="15"/>
  <c r="N16" i="15"/>
  <c r="P17" i="15"/>
  <c r="F31" i="2"/>
  <c r="F30" i="19" s="1"/>
  <c r="V30" i="19" s="1"/>
  <c r="G31" i="2"/>
  <c r="G30" i="19" s="1"/>
  <c r="W30" i="19" s="1"/>
  <c r="S14" i="14"/>
  <c r="B4" i="10" l="1"/>
  <c r="B3" i="19"/>
  <c r="R3" i="19" s="1"/>
  <c r="P5" i="2"/>
  <c r="F8" i="2" l="1"/>
  <c r="F7" i="19" s="1"/>
  <c r="V7" i="19" s="1"/>
  <c r="U10" i="14"/>
  <c r="N6" i="2" s="1"/>
  <c r="N5" i="19" s="1"/>
  <c r="AD5" i="19" s="1"/>
  <c r="Q20" i="14"/>
  <c r="Q17" i="14"/>
  <c r="S15" i="14"/>
  <c r="H9" i="2" s="1"/>
  <c r="H8" i="19" s="1"/>
  <c r="X8" i="19" s="1"/>
  <c r="R15" i="14"/>
  <c r="Q15" i="14"/>
  <c r="F9" i="2" s="1"/>
  <c r="F8" i="19" s="1"/>
  <c r="V8" i="19" s="1"/>
  <c r="R14" i="14"/>
  <c r="V15" i="14"/>
  <c r="V14" i="14"/>
  <c r="U15" i="14"/>
  <c r="N9" i="2" s="1"/>
  <c r="N8" i="19" s="1"/>
  <c r="AD8" i="19" s="1"/>
  <c r="U14" i="14"/>
  <c r="N8" i="2" s="1"/>
  <c r="N7" i="19" s="1"/>
  <c r="AD7" i="19" s="1"/>
  <c r="V10" i="14"/>
  <c r="W10" i="14" l="1"/>
  <c r="W14" i="14"/>
  <c r="W15" i="14"/>
  <c r="F63" i="14" l="1"/>
  <c r="G63" i="14"/>
  <c r="E63" i="14"/>
  <c r="AC44" i="14"/>
  <c r="AD44" i="14"/>
  <c r="AB44" i="14"/>
  <c r="AC43" i="14"/>
  <c r="AD43" i="14"/>
  <c r="AB43" i="14"/>
  <c r="AC42" i="14"/>
  <c r="AD42" i="14"/>
  <c r="AB42" i="14"/>
  <c r="AC35" i="14"/>
  <c r="AD35" i="14"/>
  <c r="AC36" i="14"/>
  <c r="AD36" i="14"/>
  <c r="AC37" i="14"/>
  <c r="AD37" i="14"/>
  <c r="AC38" i="14"/>
  <c r="AD38" i="14"/>
  <c r="AC39" i="14"/>
  <c r="AD39" i="14"/>
  <c r="AC40" i="14"/>
  <c r="AD40" i="14"/>
  <c r="AB40" i="14"/>
  <c r="AB36" i="14"/>
  <c r="AB37" i="14"/>
  <c r="AB38" i="14"/>
  <c r="AB39" i="14"/>
  <c r="AB35" i="14"/>
  <c r="X35" i="15"/>
  <c r="Y35" i="15"/>
  <c r="W35" i="15"/>
  <c r="X34" i="15"/>
  <c r="Y34" i="15"/>
  <c r="W34" i="15"/>
  <c r="D9" i="2"/>
  <c r="D8" i="19" s="1"/>
  <c r="T8" i="19" s="1"/>
  <c r="F10" i="2" l="1"/>
  <c r="F9" i="19" s="1"/>
  <c r="V9" i="19" s="1"/>
  <c r="N6" i="10"/>
  <c r="AD6" i="10" s="1"/>
  <c r="F7" i="10"/>
  <c r="G7" i="10"/>
  <c r="F8" i="10"/>
  <c r="V8" i="10" s="1"/>
  <c r="H8" i="10"/>
  <c r="X8" i="10" s="1"/>
  <c r="C9" i="10"/>
  <c r="S9" i="10" s="1"/>
  <c r="D9" i="10"/>
  <c r="T9" i="10" s="1"/>
  <c r="F9" i="10"/>
  <c r="V9" i="10" s="1"/>
  <c r="F31" i="10"/>
  <c r="V31" i="10" s="1"/>
  <c r="G31" i="10"/>
  <c r="W31" i="10" s="1"/>
  <c r="O6" i="2"/>
  <c r="V5" i="14"/>
  <c r="O4" i="2" s="1"/>
  <c r="U5" i="14"/>
  <c r="O9" i="2"/>
  <c r="N9" i="10"/>
  <c r="AD9" i="10" s="1"/>
  <c r="O8" i="2"/>
  <c r="N8" i="10"/>
  <c r="AD8" i="10" s="1"/>
  <c r="C32" i="2"/>
  <c r="C31" i="19" s="1"/>
  <c r="S31" i="19" s="1"/>
  <c r="D27" i="2"/>
  <c r="C23" i="2"/>
  <c r="C22" i="19" s="1"/>
  <c r="S22" i="19" s="1"/>
  <c r="D23" i="2"/>
  <c r="D22" i="19" s="1"/>
  <c r="T22" i="19" s="1"/>
  <c r="C24" i="2"/>
  <c r="D24" i="2"/>
  <c r="D17" i="2"/>
  <c r="C18" i="2"/>
  <c r="D14" i="2"/>
  <c r="D13" i="19" s="1"/>
  <c r="T13" i="19" s="1"/>
  <c r="B27" i="2"/>
  <c r="B26" i="19" s="1"/>
  <c r="R26" i="19" s="1"/>
  <c r="B24" i="2"/>
  <c r="B23" i="19" s="1"/>
  <c r="R23" i="19" s="1"/>
  <c r="B14" i="2"/>
  <c r="B13" i="19" s="1"/>
  <c r="R13" i="19" s="1"/>
  <c r="C11" i="2"/>
  <c r="C10" i="19" s="1"/>
  <c r="S10" i="19" s="1"/>
  <c r="C12" i="2"/>
  <c r="B12" i="2"/>
  <c r="B11" i="2"/>
  <c r="N29" i="15"/>
  <c r="O29" i="15"/>
  <c r="M29" i="15"/>
  <c r="O26" i="15"/>
  <c r="B9" i="2"/>
  <c r="B8" i="19" s="1"/>
  <c r="R8" i="19" s="1"/>
  <c r="D8" i="2"/>
  <c r="D7" i="19" s="1"/>
  <c r="T7" i="19" s="1"/>
  <c r="B8" i="10"/>
  <c r="R8" i="10" s="1"/>
  <c r="D7" i="2"/>
  <c r="D6" i="19" s="1"/>
  <c r="T6" i="19" s="1"/>
  <c r="C7" i="2"/>
  <c r="C6" i="19" s="1"/>
  <c r="S6" i="19" s="1"/>
  <c r="B7" i="10"/>
  <c r="R7" i="10" s="1"/>
  <c r="D6" i="2"/>
  <c r="C6" i="10"/>
  <c r="S6" i="10" s="1"/>
  <c r="B6" i="10"/>
  <c r="R6" i="10" s="1"/>
  <c r="C5" i="2"/>
  <c r="C4" i="19" s="1"/>
  <c r="S4" i="19" s="1"/>
  <c r="C31" i="2"/>
  <c r="C30" i="19" s="1"/>
  <c r="S30" i="19" s="1"/>
  <c r="D31" i="2"/>
  <c r="D30" i="19" s="1"/>
  <c r="T30" i="19" s="1"/>
  <c r="B31" i="2"/>
  <c r="B30" i="19" s="1"/>
  <c r="R30" i="19" s="1"/>
  <c r="D32" i="2"/>
  <c r="D31" i="19" s="1"/>
  <c r="T31" i="19" s="1"/>
  <c r="B32" i="2"/>
  <c r="B31" i="19" s="1"/>
  <c r="R31" i="19" s="1"/>
  <c r="C27" i="2"/>
  <c r="P30" i="15"/>
  <c r="C20" i="2"/>
  <c r="D20" i="2"/>
  <c r="D19" i="19" s="1"/>
  <c r="T19" i="19" s="1"/>
  <c r="C21" i="2"/>
  <c r="D21" i="2"/>
  <c r="D18" i="2"/>
  <c r="C14" i="2"/>
  <c r="C13" i="19" s="1"/>
  <c r="S13" i="19" s="1"/>
  <c r="C15" i="2"/>
  <c r="D15" i="2"/>
  <c r="B26" i="2"/>
  <c r="B25" i="19" s="1"/>
  <c r="R25" i="19" s="1"/>
  <c r="B23" i="2"/>
  <c r="B22" i="19" s="1"/>
  <c r="R22" i="19" s="1"/>
  <c r="B21" i="2"/>
  <c r="B20" i="19" s="1"/>
  <c r="R20" i="19" s="1"/>
  <c r="M26" i="15"/>
  <c r="D11" i="2"/>
  <c r="D12" i="2"/>
  <c r="C8" i="10"/>
  <c r="S8" i="10" s="1"/>
  <c r="P12" i="15"/>
  <c r="Q10" i="15" s="1"/>
  <c r="D5" i="2"/>
  <c r="D4" i="19" s="1"/>
  <c r="T4" i="19" s="1"/>
  <c r="P35" i="15"/>
  <c r="P16" i="15"/>
  <c r="P13" i="15"/>
  <c r="P9" i="15"/>
  <c r="G32" i="2"/>
  <c r="H32" i="2"/>
  <c r="F32" i="2"/>
  <c r="F13" i="2"/>
  <c r="H9" i="10"/>
  <c r="X9" i="10" s="1"/>
  <c r="G9" i="2"/>
  <c r="G8" i="2"/>
  <c r="H7" i="10"/>
  <c r="F6" i="2"/>
  <c r="F5" i="19" s="1"/>
  <c r="V5" i="19" s="1"/>
  <c r="H5" i="2"/>
  <c r="G5" i="2"/>
  <c r="F5" i="2"/>
  <c r="AB33" i="14"/>
  <c r="R32" i="14"/>
  <c r="S32" i="14"/>
  <c r="H25" i="2" s="1"/>
  <c r="Q32" i="14"/>
  <c r="F25" i="2" s="1"/>
  <c r="R29" i="14"/>
  <c r="S29" i="14"/>
  <c r="H22" i="2" s="1"/>
  <c r="Q29" i="14"/>
  <c r="F22" i="2" s="1"/>
  <c r="R26" i="14"/>
  <c r="G19" i="2" s="1"/>
  <c r="S26" i="14"/>
  <c r="H19" i="2" s="1"/>
  <c r="Q26" i="14"/>
  <c r="F19" i="2" s="1"/>
  <c r="R23" i="14"/>
  <c r="G16" i="2" s="1"/>
  <c r="S23" i="14"/>
  <c r="H16" i="2" s="1"/>
  <c r="H15" i="19" s="1"/>
  <c r="X15" i="19" s="1"/>
  <c r="Q23" i="14"/>
  <c r="F16" i="2" s="1"/>
  <c r="R20" i="14"/>
  <c r="G13" i="2" s="1"/>
  <c r="S20" i="14"/>
  <c r="H13" i="2" s="1"/>
  <c r="R17" i="14"/>
  <c r="G10" i="2" s="1"/>
  <c r="S17" i="14"/>
  <c r="T11" i="14"/>
  <c r="T12" i="14"/>
  <c r="T14" i="14"/>
  <c r="T15" i="14"/>
  <c r="T18" i="14"/>
  <c r="T19" i="14"/>
  <c r="T21" i="14"/>
  <c r="T22" i="14"/>
  <c r="T24" i="14"/>
  <c r="T27" i="14"/>
  <c r="T28" i="14"/>
  <c r="T30" i="14"/>
  <c r="T31" i="14"/>
  <c r="T33" i="14"/>
  <c r="T34" i="14"/>
  <c r="T35" i="14"/>
  <c r="T36" i="14"/>
  <c r="S37" i="14"/>
  <c r="T37" i="14" s="1"/>
  <c r="T25" i="14"/>
  <c r="S10" i="14"/>
  <c r="H6" i="2" s="1"/>
  <c r="R10" i="14"/>
  <c r="C18" i="14"/>
  <c r="Q7" i="14" s="1"/>
  <c r="T7" i="14" s="1"/>
  <c r="D19" i="14"/>
  <c r="Q8" i="14" s="1"/>
  <c r="T8" i="14" s="1"/>
  <c r="S6" i="14"/>
  <c r="R6" i="14"/>
  <c r="C12" i="10" l="1"/>
  <c r="S12" i="10" s="1"/>
  <c r="C11" i="19"/>
  <c r="S11" i="19" s="1"/>
  <c r="D24" i="10"/>
  <c r="T24" i="10" s="1"/>
  <c r="D23" i="19"/>
  <c r="T23" i="19" s="1"/>
  <c r="H13" i="10"/>
  <c r="X13" i="10" s="1"/>
  <c r="H12" i="19"/>
  <c r="X12" i="19" s="1"/>
  <c r="F22" i="10"/>
  <c r="V22" i="10" s="1"/>
  <c r="F21" i="19"/>
  <c r="V21" i="19" s="1"/>
  <c r="G5" i="10"/>
  <c r="W5" i="10" s="1"/>
  <c r="G4" i="19"/>
  <c r="W4" i="19" s="1"/>
  <c r="F32" i="10"/>
  <c r="V32" i="10" s="1"/>
  <c r="F31" i="19"/>
  <c r="V31" i="19" s="1"/>
  <c r="D15" i="10"/>
  <c r="T15" i="10" s="1"/>
  <c r="D14" i="19"/>
  <c r="T14" i="19" s="1"/>
  <c r="C24" i="10"/>
  <c r="S24" i="10" s="1"/>
  <c r="C23" i="19"/>
  <c r="S23" i="19" s="1"/>
  <c r="O9" i="10"/>
  <c r="AE9" i="10" s="1"/>
  <c r="O8" i="19"/>
  <c r="AE8" i="19" s="1"/>
  <c r="G19" i="10"/>
  <c r="W19" i="10" s="1"/>
  <c r="G18" i="19"/>
  <c r="W18" i="19" s="1"/>
  <c r="C20" i="10"/>
  <c r="S20" i="10" s="1"/>
  <c r="C19" i="19"/>
  <c r="S19" i="19" s="1"/>
  <c r="H22" i="10"/>
  <c r="X22" i="10" s="1"/>
  <c r="H21" i="19"/>
  <c r="X21" i="19" s="1"/>
  <c r="H5" i="10"/>
  <c r="X5" i="10" s="1"/>
  <c r="H4" i="19"/>
  <c r="X4" i="19" s="1"/>
  <c r="C15" i="10"/>
  <c r="S15" i="10" s="1"/>
  <c r="C14" i="19"/>
  <c r="S14" i="19" s="1"/>
  <c r="H6" i="10"/>
  <c r="X6" i="10" s="1"/>
  <c r="H5" i="19"/>
  <c r="X5" i="19" s="1"/>
  <c r="G33" i="2"/>
  <c r="G32" i="19" s="1"/>
  <c r="W32" i="19" s="1"/>
  <c r="G31" i="19"/>
  <c r="W31" i="19" s="1"/>
  <c r="F25" i="10"/>
  <c r="V25" i="10" s="1"/>
  <c r="F24" i="19"/>
  <c r="V24" i="19" s="1"/>
  <c r="D11" i="10"/>
  <c r="T11" i="10" s="1"/>
  <c r="D10" i="19"/>
  <c r="T10" i="19" s="1"/>
  <c r="D18" i="10"/>
  <c r="T18" i="10" s="1"/>
  <c r="D17" i="19"/>
  <c r="T17" i="19" s="1"/>
  <c r="D27" i="10"/>
  <c r="T27" i="10" s="1"/>
  <c r="D26" i="19"/>
  <c r="T26" i="19" s="1"/>
  <c r="O6" i="10"/>
  <c r="AE6" i="10" s="1"/>
  <c r="O5" i="19"/>
  <c r="AE5" i="19" s="1"/>
  <c r="F5" i="10"/>
  <c r="V5" i="10" s="1"/>
  <c r="F4" i="19"/>
  <c r="V4" i="19" s="1"/>
  <c r="F13" i="10"/>
  <c r="V13" i="10" s="1"/>
  <c r="F12" i="19"/>
  <c r="V12" i="19" s="1"/>
  <c r="H32" i="10"/>
  <c r="X32" i="10" s="1"/>
  <c r="H31" i="19"/>
  <c r="X31" i="19" s="1"/>
  <c r="D12" i="10"/>
  <c r="T12" i="10" s="1"/>
  <c r="D11" i="19"/>
  <c r="T11" i="19" s="1"/>
  <c r="D6" i="10"/>
  <c r="T6" i="10" s="1"/>
  <c r="D5" i="19"/>
  <c r="T5" i="19" s="1"/>
  <c r="G16" i="10"/>
  <c r="W16" i="10" s="1"/>
  <c r="G15" i="19"/>
  <c r="W15" i="19" s="1"/>
  <c r="H25" i="10"/>
  <c r="X25" i="10" s="1"/>
  <c r="H24" i="19"/>
  <c r="X24" i="19" s="1"/>
  <c r="I8" i="2"/>
  <c r="I7" i="19" s="1"/>
  <c r="Y7" i="19" s="1"/>
  <c r="G7" i="19"/>
  <c r="W7" i="19" s="1"/>
  <c r="D21" i="10"/>
  <c r="T21" i="10" s="1"/>
  <c r="D20" i="19"/>
  <c r="T20" i="19" s="1"/>
  <c r="G13" i="10"/>
  <c r="W13" i="10" s="1"/>
  <c r="G12" i="19"/>
  <c r="W12" i="19" s="1"/>
  <c r="C27" i="10"/>
  <c r="S27" i="10" s="1"/>
  <c r="C26" i="19"/>
  <c r="S26" i="19" s="1"/>
  <c r="F19" i="10"/>
  <c r="V19" i="10" s="1"/>
  <c r="F18" i="19"/>
  <c r="V18" i="19" s="1"/>
  <c r="G9" i="10"/>
  <c r="W9" i="10" s="1"/>
  <c r="G8" i="19"/>
  <c r="W8" i="19" s="1"/>
  <c r="C21" i="10"/>
  <c r="S21" i="10" s="1"/>
  <c r="C20" i="19"/>
  <c r="S20" i="19" s="1"/>
  <c r="B11" i="10"/>
  <c r="R11" i="10" s="1"/>
  <c r="B10" i="19"/>
  <c r="R10" i="19" s="1"/>
  <c r="C18" i="10"/>
  <c r="S18" i="10" s="1"/>
  <c r="C17" i="19"/>
  <c r="S17" i="19" s="1"/>
  <c r="G10" i="10"/>
  <c r="W10" i="10" s="1"/>
  <c r="G9" i="19"/>
  <c r="W9" i="19" s="1"/>
  <c r="F16" i="10"/>
  <c r="V16" i="10" s="1"/>
  <c r="F15" i="19"/>
  <c r="V15" i="19" s="1"/>
  <c r="O4" i="10"/>
  <c r="AE4" i="10" s="1"/>
  <c r="O3" i="19"/>
  <c r="AE3" i="19" s="1"/>
  <c r="H19" i="10"/>
  <c r="X19" i="10" s="1"/>
  <c r="H18" i="19"/>
  <c r="X18" i="19" s="1"/>
  <c r="B12" i="10"/>
  <c r="R12" i="10" s="1"/>
  <c r="B11" i="19"/>
  <c r="R11" i="19" s="1"/>
  <c r="D17" i="10"/>
  <c r="T17" i="10" s="1"/>
  <c r="D16" i="19"/>
  <c r="T16" i="19" s="1"/>
  <c r="O8" i="10"/>
  <c r="AE8" i="10" s="1"/>
  <c r="O7" i="19"/>
  <c r="AE7" i="19" s="1"/>
  <c r="W5" i="14"/>
  <c r="N4" i="2"/>
  <c r="N3" i="19" s="1"/>
  <c r="AD3" i="19" s="1"/>
  <c r="C5" i="10"/>
  <c r="S5" i="10" s="1"/>
  <c r="G8" i="10"/>
  <c r="W8" i="10" s="1"/>
  <c r="T32" i="14"/>
  <c r="G32" i="10"/>
  <c r="W32" i="10" s="1"/>
  <c r="T20" i="14"/>
  <c r="T17" i="14"/>
  <c r="H10" i="2"/>
  <c r="O29" i="2"/>
  <c r="O28" i="19" s="1"/>
  <c r="AE28" i="19" s="1"/>
  <c r="O28" i="2"/>
  <c r="O27" i="19" s="1"/>
  <c r="AE27" i="19" s="1"/>
  <c r="F10" i="10"/>
  <c r="V10" i="10" s="1"/>
  <c r="G6" i="2"/>
  <c r="T10" i="14"/>
  <c r="F6" i="10"/>
  <c r="V6" i="10" s="1"/>
  <c r="J6" i="2"/>
  <c r="J5" i="19" s="1"/>
  <c r="Z5" i="19" s="1"/>
  <c r="F4" i="10"/>
  <c r="V4" i="10" s="1"/>
  <c r="J4" i="2"/>
  <c r="J3" i="19" s="1"/>
  <c r="Z3" i="19" s="1"/>
  <c r="D33" i="2"/>
  <c r="D32" i="19" s="1"/>
  <c r="T32" i="19" s="1"/>
  <c r="B33" i="2"/>
  <c r="B32" i="19" s="1"/>
  <c r="R32" i="19" s="1"/>
  <c r="E27" i="2"/>
  <c r="E26" i="19" s="1"/>
  <c r="U26" i="19" s="1"/>
  <c r="D22" i="2"/>
  <c r="E24" i="2"/>
  <c r="E23" i="19" s="1"/>
  <c r="U23" i="19" s="1"/>
  <c r="B22" i="2"/>
  <c r="E11" i="2"/>
  <c r="E10" i="19" s="1"/>
  <c r="U10" i="19" s="1"/>
  <c r="B25" i="2"/>
  <c r="B24" i="19" s="1"/>
  <c r="R24" i="19" s="1"/>
  <c r="B26" i="10"/>
  <c r="R26" i="10" s="1"/>
  <c r="D19" i="2"/>
  <c r="D18" i="19" s="1"/>
  <c r="T18" i="19" s="1"/>
  <c r="D20" i="10"/>
  <c r="T20" i="10" s="1"/>
  <c r="B21" i="10"/>
  <c r="R21" i="10" s="1"/>
  <c r="E21" i="2"/>
  <c r="E20" i="19" s="1"/>
  <c r="U20" i="19" s="1"/>
  <c r="C13" i="2"/>
  <c r="C12" i="19" s="1"/>
  <c r="S12" i="19" s="1"/>
  <c r="C14" i="10"/>
  <c r="S14" i="10" s="1"/>
  <c r="D23" i="10"/>
  <c r="T23" i="10" s="1"/>
  <c r="B18" i="2"/>
  <c r="B17" i="19" s="1"/>
  <c r="R17" i="19" s="1"/>
  <c r="P25" i="15"/>
  <c r="D13" i="2"/>
  <c r="D12" i="19" s="1"/>
  <c r="T12" i="19" s="1"/>
  <c r="D14" i="10"/>
  <c r="T14" i="10" s="1"/>
  <c r="C23" i="10"/>
  <c r="S23" i="10" s="1"/>
  <c r="C22" i="2"/>
  <c r="C21" i="19" s="1"/>
  <c r="S21" i="19" s="1"/>
  <c r="D26" i="2"/>
  <c r="D25" i="19" s="1"/>
  <c r="T25" i="19" s="1"/>
  <c r="O32" i="15"/>
  <c r="R15" i="15" s="1"/>
  <c r="N32" i="15"/>
  <c r="B9" i="10"/>
  <c r="R9" i="10" s="1"/>
  <c r="E9" i="2"/>
  <c r="E8" i="19" s="1"/>
  <c r="U8" i="19" s="1"/>
  <c r="E14" i="2"/>
  <c r="E13" i="19" s="1"/>
  <c r="U13" i="19" s="1"/>
  <c r="B14" i="10"/>
  <c r="R14" i="10" s="1"/>
  <c r="C26" i="2"/>
  <c r="C25" i="19" s="1"/>
  <c r="S25" i="19" s="1"/>
  <c r="E12" i="2"/>
  <c r="E11" i="19" s="1"/>
  <c r="U11" i="19" s="1"/>
  <c r="E23" i="2"/>
  <c r="E22" i="19" s="1"/>
  <c r="U22" i="19" s="1"/>
  <c r="B20" i="2"/>
  <c r="B19" i="19" s="1"/>
  <c r="R19" i="19" s="1"/>
  <c r="D16" i="2"/>
  <c r="D15" i="19" s="1"/>
  <c r="T15" i="19" s="1"/>
  <c r="C33" i="2"/>
  <c r="C32" i="19" s="1"/>
  <c r="S32" i="19" s="1"/>
  <c r="B27" i="10"/>
  <c r="R27" i="10" s="1"/>
  <c r="P20" i="15"/>
  <c r="M32" i="15"/>
  <c r="R13" i="15" s="1"/>
  <c r="B24" i="10"/>
  <c r="R24" i="10" s="1"/>
  <c r="B15" i="2"/>
  <c r="P22" i="15"/>
  <c r="P34" i="15"/>
  <c r="C17" i="2"/>
  <c r="C16" i="19" s="1"/>
  <c r="S16" i="19" s="1"/>
  <c r="E31" i="2"/>
  <c r="E30" i="19" s="1"/>
  <c r="U30" i="19" s="1"/>
  <c r="B10" i="2"/>
  <c r="B9" i="19" s="1"/>
  <c r="R9" i="19" s="1"/>
  <c r="C19" i="2"/>
  <c r="C18" i="19" s="1"/>
  <c r="S18" i="19" s="1"/>
  <c r="B23" i="10"/>
  <c r="R23" i="10" s="1"/>
  <c r="E8" i="2"/>
  <c r="E7" i="19" s="1"/>
  <c r="U7" i="19" s="1"/>
  <c r="D8" i="10"/>
  <c r="T8" i="10" s="1"/>
  <c r="N26" i="15"/>
  <c r="C10" i="2"/>
  <c r="C9" i="19" s="1"/>
  <c r="S9" i="19" s="1"/>
  <c r="C11" i="10"/>
  <c r="S11" i="10" s="1"/>
  <c r="D10" i="2"/>
  <c r="D9" i="19" s="1"/>
  <c r="T9" i="19" s="1"/>
  <c r="E32" i="2"/>
  <c r="E31" i="19" s="1"/>
  <c r="U31" i="19" s="1"/>
  <c r="P31" i="15"/>
  <c r="Q29" i="15" s="1"/>
  <c r="P24" i="15"/>
  <c r="L6" i="2"/>
  <c r="L5" i="19" s="1"/>
  <c r="AB5" i="19" s="1"/>
  <c r="E6" i="2"/>
  <c r="E5" i="19" s="1"/>
  <c r="U5" i="19" s="1"/>
  <c r="D7" i="10"/>
  <c r="T7" i="10" s="1"/>
  <c r="E7" i="2"/>
  <c r="K5" i="2"/>
  <c r="K4" i="19" s="1"/>
  <c r="AA4" i="19" s="1"/>
  <c r="D4" i="2"/>
  <c r="D3" i="19" s="1"/>
  <c r="T3" i="19" s="1"/>
  <c r="D5" i="10"/>
  <c r="T5" i="10" s="1"/>
  <c r="C4" i="2"/>
  <c r="J5" i="2"/>
  <c r="J4" i="19" s="1"/>
  <c r="Z4" i="19" s="1"/>
  <c r="H16" i="10"/>
  <c r="X16" i="10" s="1"/>
  <c r="H31" i="2"/>
  <c r="J9" i="2"/>
  <c r="J8" i="19" s="1"/>
  <c r="Z8" i="19" s="1"/>
  <c r="C7" i="10"/>
  <c r="S7" i="10" s="1"/>
  <c r="K7" i="10"/>
  <c r="J7" i="10"/>
  <c r="H4" i="2"/>
  <c r="K9" i="2"/>
  <c r="K8" i="19" s="1"/>
  <c r="AA8" i="19" s="1"/>
  <c r="T26" i="14"/>
  <c r="I16" i="2"/>
  <c r="L9" i="2"/>
  <c r="L8" i="19" s="1"/>
  <c r="AB8" i="19" s="1"/>
  <c r="G25" i="2"/>
  <c r="G24" i="19" s="1"/>
  <c r="W24" i="19" s="1"/>
  <c r="G4" i="2"/>
  <c r="G3" i="19" s="1"/>
  <c r="W3" i="19" s="1"/>
  <c r="L5" i="2"/>
  <c r="L4" i="19" s="1"/>
  <c r="AB4" i="19" s="1"/>
  <c r="I9" i="2"/>
  <c r="L8" i="2"/>
  <c r="L7" i="19" s="1"/>
  <c r="AB7" i="19" s="1"/>
  <c r="T23" i="14"/>
  <c r="T5" i="14"/>
  <c r="T29" i="14"/>
  <c r="I13" i="2"/>
  <c r="I12" i="19" s="1"/>
  <c r="Y12" i="19" s="1"/>
  <c r="I19" i="2"/>
  <c r="G22" i="2"/>
  <c r="K8" i="2"/>
  <c r="K7" i="19" s="1"/>
  <c r="AA7" i="19" s="1"/>
  <c r="I8" i="10"/>
  <c r="Y8" i="10" s="1"/>
  <c r="I7" i="10"/>
  <c r="L13" i="2"/>
  <c r="L12" i="19" s="1"/>
  <c r="AB12" i="19" s="1"/>
  <c r="F33" i="2"/>
  <c r="F32" i="19" s="1"/>
  <c r="V32" i="19" s="1"/>
  <c r="I32" i="2"/>
  <c r="I5" i="2"/>
  <c r="L7" i="10"/>
  <c r="F28" i="2"/>
  <c r="F27" i="19" s="1"/>
  <c r="V27" i="19" s="1"/>
  <c r="J8" i="2"/>
  <c r="J7" i="19" s="1"/>
  <c r="Z7" i="19" s="1"/>
  <c r="P28" i="15"/>
  <c r="Q14" i="15"/>
  <c r="P21" i="15"/>
  <c r="P29" i="15"/>
  <c r="P27" i="15"/>
  <c r="P33" i="15"/>
  <c r="G21" i="14"/>
  <c r="Q6" i="14"/>
  <c r="T6" i="14" s="1"/>
  <c r="N4" i="10" l="1"/>
  <c r="AD4" i="10" s="1"/>
  <c r="N28" i="2"/>
  <c r="N27" i="19" s="1"/>
  <c r="AD27" i="19" s="1"/>
  <c r="L22" i="2"/>
  <c r="L21" i="19" s="1"/>
  <c r="AB21" i="19" s="1"/>
  <c r="D21" i="19"/>
  <c r="T21" i="19" s="1"/>
  <c r="I16" i="10"/>
  <c r="Y16" i="10" s="1"/>
  <c r="I15" i="19"/>
  <c r="Y15" i="19" s="1"/>
  <c r="H31" i="10"/>
  <c r="X31" i="10" s="1"/>
  <c r="H30" i="19"/>
  <c r="X30" i="19" s="1"/>
  <c r="K6" i="2"/>
  <c r="K5" i="19" s="1"/>
  <c r="AA5" i="19" s="1"/>
  <c r="G5" i="19"/>
  <c r="W5" i="19" s="1"/>
  <c r="I9" i="10"/>
  <c r="Y9" i="10" s="1"/>
  <c r="I8" i="19"/>
  <c r="Y8" i="19" s="1"/>
  <c r="H4" i="10"/>
  <c r="X4" i="10" s="1"/>
  <c r="H3" i="19"/>
  <c r="X3" i="19" s="1"/>
  <c r="Q5" i="2"/>
  <c r="C3" i="19"/>
  <c r="S3" i="19" s="1"/>
  <c r="E15" i="2"/>
  <c r="E14" i="19" s="1"/>
  <c r="U14" i="19" s="1"/>
  <c r="B14" i="19"/>
  <c r="R14" i="19" s="1"/>
  <c r="Q32" i="15"/>
  <c r="M7" i="2"/>
  <c r="M6" i="19" s="1"/>
  <c r="AC6" i="19" s="1"/>
  <c r="E6" i="19"/>
  <c r="U6" i="19" s="1"/>
  <c r="G22" i="10"/>
  <c r="W22" i="10" s="1"/>
  <c r="G21" i="19"/>
  <c r="W21" i="19" s="1"/>
  <c r="I5" i="10"/>
  <c r="Y5" i="10" s="1"/>
  <c r="I4" i="19"/>
  <c r="Y4" i="19" s="1"/>
  <c r="I19" i="10"/>
  <c r="Y19" i="10" s="1"/>
  <c r="I18" i="19"/>
  <c r="Y18" i="19" s="1"/>
  <c r="J22" i="2"/>
  <c r="J21" i="19" s="1"/>
  <c r="Z21" i="19" s="1"/>
  <c r="B21" i="19"/>
  <c r="R21" i="19" s="1"/>
  <c r="H10" i="10"/>
  <c r="X10" i="10" s="1"/>
  <c r="H9" i="19"/>
  <c r="X9" i="19" s="1"/>
  <c r="I32" i="10"/>
  <c r="Y32" i="10" s="1"/>
  <c r="I31" i="19"/>
  <c r="Y31" i="19" s="1"/>
  <c r="R14" i="15"/>
  <c r="R12" i="15" s="1"/>
  <c r="Q20" i="15"/>
  <c r="N29" i="2"/>
  <c r="N28" i="19" s="1"/>
  <c r="AD28" i="19" s="1"/>
  <c r="E4" i="2"/>
  <c r="E3" i="19" s="1"/>
  <c r="U3" i="19" s="1"/>
  <c r="B13" i="2"/>
  <c r="B12" i="19" s="1"/>
  <c r="R12" i="19" s="1"/>
  <c r="Q26" i="15"/>
  <c r="L19" i="2"/>
  <c r="L18" i="19" s="1"/>
  <c r="AB18" i="19" s="1"/>
  <c r="R5" i="2"/>
  <c r="I10" i="2"/>
  <c r="I6" i="2"/>
  <c r="G6" i="10"/>
  <c r="W6" i="10" s="1"/>
  <c r="H33" i="2"/>
  <c r="I25" i="2"/>
  <c r="G25" i="10"/>
  <c r="W25" i="10" s="1"/>
  <c r="H28" i="2"/>
  <c r="J33" i="2"/>
  <c r="J32" i="19" s="1"/>
  <c r="Z32" i="19" s="1"/>
  <c r="I4" i="2"/>
  <c r="I3" i="19" s="1"/>
  <c r="Y3" i="19" s="1"/>
  <c r="G4" i="10"/>
  <c r="W4" i="10" s="1"/>
  <c r="F28" i="10"/>
  <c r="V28" i="10" s="1"/>
  <c r="P26" i="15"/>
  <c r="Q23" i="15"/>
  <c r="E33" i="2"/>
  <c r="E26" i="2"/>
  <c r="E25" i="19" s="1"/>
  <c r="U25" i="19" s="1"/>
  <c r="E22" i="2"/>
  <c r="E21" i="19" s="1"/>
  <c r="U21" i="19" s="1"/>
  <c r="P23" i="15"/>
  <c r="C16" i="2"/>
  <c r="C15" i="19" s="1"/>
  <c r="S15" i="19" s="1"/>
  <c r="C17" i="10"/>
  <c r="S17" i="10" s="1"/>
  <c r="E18" i="2"/>
  <c r="E17" i="19" s="1"/>
  <c r="U17" i="19" s="1"/>
  <c r="B18" i="10"/>
  <c r="R18" i="10" s="1"/>
  <c r="L16" i="2"/>
  <c r="L15" i="19" s="1"/>
  <c r="AB15" i="19" s="1"/>
  <c r="C25" i="2"/>
  <c r="C24" i="19" s="1"/>
  <c r="S24" i="19" s="1"/>
  <c r="C26" i="10"/>
  <c r="S26" i="10" s="1"/>
  <c r="D25" i="2"/>
  <c r="D24" i="19" s="1"/>
  <c r="T24" i="19" s="1"/>
  <c r="D26" i="10"/>
  <c r="T26" i="10" s="1"/>
  <c r="L10" i="2"/>
  <c r="L9" i="19" s="1"/>
  <c r="AB9" i="19" s="1"/>
  <c r="J10" i="2"/>
  <c r="J9" i="19" s="1"/>
  <c r="Z9" i="19" s="1"/>
  <c r="E10" i="2"/>
  <c r="E9" i="19" s="1"/>
  <c r="U9" i="19" s="1"/>
  <c r="B15" i="10"/>
  <c r="R15" i="10" s="1"/>
  <c r="E17" i="2"/>
  <c r="E16" i="19" s="1"/>
  <c r="U16" i="19" s="1"/>
  <c r="B17" i="10"/>
  <c r="R17" i="10" s="1"/>
  <c r="B16" i="2"/>
  <c r="B15" i="19" s="1"/>
  <c r="R15" i="19" s="1"/>
  <c r="K13" i="2"/>
  <c r="K12" i="19" s="1"/>
  <c r="AA12" i="19" s="1"/>
  <c r="K10" i="2"/>
  <c r="K9" i="19" s="1"/>
  <c r="AA9" i="19" s="1"/>
  <c r="P32" i="15"/>
  <c r="K19" i="2"/>
  <c r="K18" i="19" s="1"/>
  <c r="AA18" i="19" s="1"/>
  <c r="B20" i="10"/>
  <c r="R20" i="10" s="1"/>
  <c r="B19" i="2"/>
  <c r="E20" i="2"/>
  <c r="E19" i="19" s="1"/>
  <c r="U19" i="19" s="1"/>
  <c r="J25" i="2"/>
  <c r="J24" i="19" s="1"/>
  <c r="Z24" i="19" s="1"/>
  <c r="P5" i="15"/>
  <c r="K4" i="2"/>
  <c r="K3" i="19" s="1"/>
  <c r="AA3" i="19" s="1"/>
  <c r="C4" i="10"/>
  <c r="S4" i="10" s="1"/>
  <c r="C28" i="2"/>
  <c r="C27" i="19" s="1"/>
  <c r="S27" i="19" s="1"/>
  <c r="E5" i="2"/>
  <c r="E4" i="19" s="1"/>
  <c r="U4" i="19" s="1"/>
  <c r="P6" i="15"/>
  <c r="L4" i="2"/>
  <c r="L3" i="19" s="1"/>
  <c r="AB3" i="19" s="1"/>
  <c r="D4" i="10"/>
  <c r="T4" i="10" s="1"/>
  <c r="D28" i="2"/>
  <c r="D27" i="19" s="1"/>
  <c r="T27" i="19" s="1"/>
  <c r="I31" i="2"/>
  <c r="I13" i="10"/>
  <c r="Y13" i="10" s="1"/>
  <c r="B5" i="10"/>
  <c r="R5" i="10" s="1"/>
  <c r="R4" i="10"/>
  <c r="B28" i="2"/>
  <c r="B27" i="19" s="1"/>
  <c r="R27" i="19" s="1"/>
  <c r="K22" i="2"/>
  <c r="K21" i="19" s="1"/>
  <c r="AA21" i="19" s="1"/>
  <c r="G28" i="2"/>
  <c r="G27" i="19" s="1"/>
  <c r="W27" i="19" s="1"/>
  <c r="I22" i="2"/>
  <c r="F29" i="2"/>
  <c r="E32" i="19" l="1"/>
  <c r="U32" i="19" s="1"/>
  <c r="E33" i="16"/>
  <c r="H28" i="10"/>
  <c r="X28" i="10" s="1"/>
  <c r="H27" i="19"/>
  <c r="X27" i="19" s="1"/>
  <c r="F29" i="10"/>
  <c r="V29" i="10" s="1"/>
  <c r="F28" i="19"/>
  <c r="V28" i="19" s="1"/>
  <c r="I31" i="10"/>
  <c r="Y31" i="10" s="1"/>
  <c r="I30" i="19"/>
  <c r="Y30" i="19" s="1"/>
  <c r="J28" i="2"/>
  <c r="J27" i="19" s="1"/>
  <c r="Z27" i="19" s="1"/>
  <c r="I33" i="2"/>
  <c r="I32" i="19" s="1"/>
  <c r="Y32" i="19" s="1"/>
  <c r="H32" i="19"/>
  <c r="X32" i="19" s="1"/>
  <c r="I22" i="10"/>
  <c r="Y22" i="10" s="1"/>
  <c r="I21" i="19"/>
  <c r="Y21" i="19" s="1"/>
  <c r="E19" i="2"/>
  <c r="E18" i="19" s="1"/>
  <c r="U18" i="19" s="1"/>
  <c r="B18" i="19"/>
  <c r="R18" i="19" s="1"/>
  <c r="I25" i="10"/>
  <c r="Y25" i="10" s="1"/>
  <c r="I24" i="19"/>
  <c r="Y24" i="19" s="1"/>
  <c r="I6" i="10"/>
  <c r="Y6" i="10" s="1"/>
  <c r="I5" i="19"/>
  <c r="Y5" i="19" s="1"/>
  <c r="I10" i="10"/>
  <c r="Y10" i="10" s="1"/>
  <c r="I9" i="19"/>
  <c r="Y9" i="19" s="1"/>
  <c r="Q40" i="15"/>
  <c r="M5" i="2"/>
  <c r="M4" i="19" s="1"/>
  <c r="AC4" i="19" s="1"/>
  <c r="S5" i="2"/>
  <c r="J13" i="2"/>
  <c r="J12" i="19" s="1"/>
  <c r="Z12" i="19" s="1"/>
  <c r="E13" i="2"/>
  <c r="E12" i="19" s="1"/>
  <c r="U12" i="19" s="1"/>
  <c r="M6" i="2"/>
  <c r="M5" i="19" s="1"/>
  <c r="AC5" i="19" s="1"/>
  <c r="H29" i="2"/>
  <c r="I28" i="2"/>
  <c r="I27" i="19" s="1"/>
  <c r="Y27" i="19" s="1"/>
  <c r="G28" i="10"/>
  <c r="W28" i="10" s="1"/>
  <c r="K25" i="2"/>
  <c r="K24" i="19" s="1"/>
  <c r="AA24" i="19" s="1"/>
  <c r="L25" i="2"/>
  <c r="L24" i="19" s="1"/>
  <c r="AB24" i="19" s="1"/>
  <c r="E25" i="2"/>
  <c r="E24" i="19" s="1"/>
  <c r="U24" i="19" s="1"/>
  <c r="M10" i="2"/>
  <c r="M9" i="19" s="1"/>
  <c r="AC9" i="19" s="1"/>
  <c r="J19" i="2"/>
  <c r="J18" i="19" s="1"/>
  <c r="Z18" i="19" s="1"/>
  <c r="E16" i="2"/>
  <c r="E15" i="19" s="1"/>
  <c r="U15" i="19" s="1"/>
  <c r="J16" i="2"/>
  <c r="J15" i="19" s="1"/>
  <c r="Z15" i="19" s="1"/>
  <c r="K16" i="2"/>
  <c r="K15" i="19" s="1"/>
  <c r="AA15" i="19" s="1"/>
  <c r="M4" i="2"/>
  <c r="M3" i="19" s="1"/>
  <c r="AC3" i="19" s="1"/>
  <c r="K28" i="2"/>
  <c r="K27" i="19" s="1"/>
  <c r="AA27" i="19" s="1"/>
  <c r="C29" i="2"/>
  <c r="C28" i="19" s="1"/>
  <c r="S28" i="19" s="1"/>
  <c r="L28" i="2"/>
  <c r="L27" i="19" s="1"/>
  <c r="AB27" i="19" s="1"/>
  <c r="D29" i="2"/>
  <c r="D28" i="19" s="1"/>
  <c r="T28" i="19" s="1"/>
  <c r="E28" i="2"/>
  <c r="E27" i="19" s="1"/>
  <c r="U27" i="19" s="1"/>
  <c r="B29" i="2"/>
  <c r="G29" i="2"/>
  <c r="G29" i="10" l="1"/>
  <c r="W29" i="10" s="1"/>
  <c r="G28" i="19"/>
  <c r="W28" i="19" s="1"/>
  <c r="J29" i="2"/>
  <c r="J28" i="19" s="1"/>
  <c r="Z28" i="19" s="1"/>
  <c r="B28" i="19"/>
  <c r="R28" i="19" s="1"/>
  <c r="H29" i="10"/>
  <c r="X29" i="10" s="1"/>
  <c r="H28" i="19"/>
  <c r="X28" i="19" s="1"/>
  <c r="I29" i="2"/>
  <c r="I28" i="19" s="1"/>
  <c r="Y28" i="19" s="1"/>
  <c r="K29" i="2"/>
  <c r="K28" i="19" s="1"/>
  <c r="AA28" i="19" s="1"/>
  <c r="C29" i="10"/>
  <c r="S29" i="10" s="1"/>
  <c r="M28" i="2"/>
  <c r="M27" i="19" s="1"/>
  <c r="AC27" i="19" s="1"/>
  <c r="L29" i="2"/>
  <c r="L28" i="19" s="1"/>
  <c r="AB28" i="19" s="1"/>
  <c r="D29" i="10"/>
  <c r="T29" i="10" s="1"/>
  <c r="B29" i="10"/>
  <c r="R29" i="10" s="1"/>
  <c r="E29" i="2"/>
  <c r="E28" i="19" s="1"/>
  <c r="U28" i="19" s="1"/>
  <c r="E29" i="10" l="1"/>
  <c r="U29" i="10" s="1"/>
  <c r="M29" i="2"/>
  <c r="M28" i="19" s="1"/>
  <c r="AC28" i="19" s="1"/>
  <c r="J32" i="2"/>
  <c r="J31" i="19" s="1"/>
  <c r="Z31" i="19" s="1"/>
  <c r="J31" i="2"/>
  <c r="J30" i="19" s="1"/>
  <c r="Z30" i="19" s="1"/>
  <c r="L31" i="2" l="1"/>
  <c r="L30" i="19" s="1"/>
  <c r="AB30" i="19" s="1"/>
  <c r="L32" i="2"/>
  <c r="L31" i="19" s="1"/>
  <c r="AB31" i="19" s="1"/>
  <c r="K31" i="2"/>
  <c r="K30" i="19" s="1"/>
  <c r="AA30" i="19" s="1"/>
  <c r="K32" i="2"/>
  <c r="K31" i="19" s="1"/>
  <c r="AA31" i="19" s="1"/>
  <c r="M32" i="2" l="1"/>
  <c r="M31" i="19" s="1"/>
  <c r="AC31" i="19" s="1"/>
  <c r="L33" i="2"/>
  <c r="L32" i="19" s="1"/>
  <c r="AB32" i="19" s="1"/>
  <c r="M31" i="2"/>
  <c r="M30" i="19" s="1"/>
  <c r="AC30" i="19" s="1"/>
  <c r="M9" i="2"/>
  <c r="M8" i="19" s="1"/>
  <c r="AC8" i="19" s="1"/>
  <c r="M7" i="10"/>
  <c r="M19" i="2" l="1"/>
  <c r="M18" i="19" s="1"/>
  <c r="AC18" i="19" s="1"/>
  <c r="M33" i="2"/>
  <c r="M32" i="19" s="1"/>
  <c r="AC32" i="19" s="1"/>
  <c r="M8" i="2"/>
  <c r="M7" i="19" s="1"/>
  <c r="AC7" i="19" s="1"/>
  <c r="K33" i="2"/>
  <c r="K32" i="19" s="1"/>
  <c r="AA32" i="19" s="1"/>
  <c r="M25" i="2"/>
  <c r="M24" i="19" s="1"/>
  <c r="AC24" i="19" s="1"/>
  <c r="M22" i="2"/>
  <c r="M21" i="19" s="1"/>
  <c r="AC21" i="19" s="1"/>
  <c r="M16" i="2" l="1"/>
  <c r="M15" i="19" s="1"/>
  <c r="AC15" i="19" s="1"/>
  <c r="M13" i="2"/>
  <c r="M12" i="19" s="1"/>
  <c r="AC12" i="19" s="1"/>
  <c r="E27" i="1"/>
  <c r="E27" i="10" s="1"/>
  <c r="U27" i="10" s="1"/>
  <c r="E26" i="1"/>
  <c r="E26" i="10" s="1"/>
  <c r="U26" i="10" s="1"/>
  <c r="E24" i="1"/>
  <c r="E24" i="10" s="1"/>
  <c r="U24" i="10" s="1"/>
  <c r="E23" i="1"/>
  <c r="E23" i="10" s="1"/>
  <c r="U23" i="10" s="1"/>
  <c r="E21" i="1"/>
  <c r="E21" i="10" s="1"/>
  <c r="U21" i="10" s="1"/>
  <c r="E20" i="1"/>
  <c r="E20" i="10" s="1"/>
  <c r="U20" i="10" s="1"/>
  <c r="E18" i="1"/>
  <c r="E18" i="10" s="1"/>
  <c r="U18" i="10" s="1"/>
  <c r="E17" i="1"/>
  <c r="E17" i="10" s="1"/>
  <c r="U17" i="10" s="1"/>
  <c r="E15" i="1"/>
  <c r="E15" i="10" s="1"/>
  <c r="U15" i="10" s="1"/>
  <c r="E14" i="1"/>
  <c r="E14" i="10" s="1"/>
  <c r="U14" i="10" s="1"/>
  <c r="E12" i="1"/>
  <c r="E12" i="10" s="1"/>
  <c r="U12" i="10" s="1"/>
  <c r="E11" i="1"/>
  <c r="E11" i="10" s="1"/>
  <c r="U11" i="10" s="1"/>
  <c r="E9" i="1"/>
  <c r="E9" i="10" s="1"/>
  <c r="U9" i="10" s="1"/>
  <c r="E8" i="1"/>
  <c r="E8" i="10" s="1"/>
  <c r="U8" i="10" s="1"/>
  <c r="E7" i="1"/>
  <c r="E7" i="10" s="1"/>
  <c r="U7" i="10" s="1"/>
  <c r="E6" i="1"/>
  <c r="E6" i="10" s="1"/>
  <c r="U6" i="10" s="1"/>
  <c r="E5" i="1" l="1"/>
  <c r="E5" i="10" s="1"/>
  <c r="U5" i="10" s="1"/>
  <c r="E4" i="1"/>
  <c r="E4" i="10" s="1"/>
  <c r="U4" i="10" s="1"/>
  <c r="I29" i="1" l="1"/>
  <c r="I28" i="1"/>
  <c r="I28" i="10" s="1"/>
  <c r="Y28" i="10" s="1"/>
  <c r="O28" i="1"/>
  <c r="N28" i="1"/>
  <c r="J29" i="1"/>
  <c r="J29" i="10" s="1"/>
  <c r="Z29" i="10" s="1"/>
  <c r="K29" i="1"/>
  <c r="K29" i="10" s="1"/>
  <c r="AA29" i="10" s="1"/>
  <c r="L29" i="1"/>
  <c r="L29" i="10" s="1"/>
  <c r="AB29" i="10" s="1"/>
  <c r="M9" i="1"/>
  <c r="M9" i="10" s="1"/>
  <c r="AC9" i="10" s="1"/>
  <c r="L9" i="1"/>
  <c r="L9" i="10" s="1"/>
  <c r="AB9" i="10" s="1"/>
  <c r="K9" i="1"/>
  <c r="K9" i="10" s="1"/>
  <c r="AA9" i="10" s="1"/>
  <c r="J9" i="1"/>
  <c r="J9" i="10" s="1"/>
  <c r="Z9" i="10" s="1"/>
  <c r="M8" i="1"/>
  <c r="M8" i="10" s="1"/>
  <c r="AC8" i="10" s="1"/>
  <c r="L8" i="1"/>
  <c r="L8" i="10" s="1"/>
  <c r="AB8" i="10" s="1"/>
  <c r="K8" i="1"/>
  <c r="K8" i="10" s="1"/>
  <c r="AA8" i="10" s="1"/>
  <c r="J8" i="1"/>
  <c r="J8" i="10" s="1"/>
  <c r="Z8" i="10" s="1"/>
  <c r="M6" i="1"/>
  <c r="M6" i="10" s="1"/>
  <c r="AC6" i="10" s="1"/>
  <c r="L6" i="1"/>
  <c r="L6" i="10" s="1"/>
  <c r="AB6" i="10" s="1"/>
  <c r="K6" i="1"/>
  <c r="K6" i="10" s="1"/>
  <c r="AA6" i="10" s="1"/>
  <c r="J6" i="1"/>
  <c r="J6" i="10" s="1"/>
  <c r="Z6" i="10" s="1"/>
  <c r="J5" i="1"/>
  <c r="J5" i="10" s="1"/>
  <c r="Z5" i="10" s="1"/>
  <c r="K5" i="1"/>
  <c r="K5" i="10" s="1"/>
  <c r="AA5" i="10" s="1"/>
  <c r="L5" i="1"/>
  <c r="L5" i="10" s="1"/>
  <c r="AB5" i="10" s="1"/>
  <c r="M5" i="1"/>
  <c r="M5" i="10" s="1"/>
  <c r="AC5" i="10" s="1"/>
  <c r="K4" i="1"/>
  <c r="K4" i="10" s="1"/>
  <c r="AA4" i="10" s="1"/>
  <c r="L4" i="1"/>
  <c r="L4" i="10" s="1"/>
  <c r="AB4" i="10" s="1"/>
  <c r="J4" i="1"/>
  <c r="J4" i="10" s="1"/>
  <c r="Z4" i="10" s="1"/>
  <c r="I4" i="1"/>
  <c r="M4" i="1" l="1"/>
  <c r="M4" i="10" s="1"/>
  <c r="AC4" i="10" s="1"/>
  <c r="I4" i="10"/>
  <c r="Y4" i="10" s="1"/>
  <c r="M29" i="1"/>
  <c r="M29" i="10" s="1"/>
  <c r="AC29" i="10" s="1"/>
  <c r="I29" i="10"/>
  <c r="Y29" i="10" s="1"/>
  <c r="G33" i="1"/>
  <c r="G33" i="10" s="1"/>
  <c r="W33" i="10" s="1"/>
  <c r="H33" i="1"/>
  <c r="H33" i="10" s="1"/>
  <c r="X33" i="10" s="1"/>
  <c r="I33" i="1"/>
  <c r="I33" i="10" s="1"/>
  <c r="Y33" i="10" s="1"/>
  <c r="F33" i="1"/>
  <c r="F33" i="10" s="1"/>
  <c r="V33" i="10" s="1"/>
  <c r="C31" i="1"/>
  <c r="D31" i="1"/>
  <c r="D31" i="10" s="1"/>
  <c r="T31" i="10" s="1"/>
  <c r="E31" i="1"/>
  <c r="C32" i="1"/>
  <c r="D32" i="1"/>
  <c r="E32" i="1"/>
  <c r="B32" i="1"/>
  <c r="B31" i="1"/>
  <c r="C28" i="1"/>
  <c r="D28" i="1"/>
  <c r="E28" i="1"/>
  <c r="B28" i="1"/>
  <c r="D25" i="1"/>
  <c r="C25" i="1"/>
  <c r="B25" i="1"/>
  <c r="B25" i="10" s="1"/>
  <c r="R25" i="10" s="1"/>
  <c r="D22" i="1"/>
  <c r="C22" i="1"/>
  <c r="B22" i="1"/>
  <c r="B22" i="10" s="1"/>
  <c r="R22" i="10" s="1"/>
  <c r="D19" i="1"/>
  <c r="C19" i="1"/>
  <c r="B19" i="1"/>
  <c r="B19" i="10" s="1"/>
  <c r="R19" i="10" s="1"/>
  <c r="D16" i="1"/>
  <c r="C16" i="1"/>
  <c r="B16" i="1"/>
  <c r="B16" i="10" s="1"/>
  <c r="R16" i="10" s="1"/>
  <c r="D13" i="1"/>
  <c r="C13" i="1"/>
  <c r="B13" i="1"/>
  <c r="B13" i="10" s="1"/>
  <c r="R13" i="10" s="1"/>
  <c r="C10" i="1"/>
  <c r="D10" i="1"/>
  <c r="B10" i="1"/>
  <c r="B10" i="10" s="1"/>
  <c r="R10" i="10" s="1"/>
  <c r="L22" i="1" l="1"/>
  <c r="L22" i="10" s="1"/>
  <c r="AB22" i="10" s="1"/>
  <c r="D22" i="10"/>
  <c r="T22" i="10" s="1"/>
  <c r="J31" i="1"/>
  <c r="J31" i="10" s="1"/>
  <c r="Z31" i="10" s="1"/>
  <c r="B31" i="10"/>
  <c r="R31" i="10" s="1"/>
  <c r="J32" i="1"/>
  <c r="J32" i="10" s="1"/>
  <c r="Z32" i="10" s="1"/>
  <c r="B32" i="10"/>
  <c r="R32" i="10" s="1"/>
  <c r="L16" i="1"/>
  <c r="L16" i="10" s="1"/>
  <c r="AB16" i="10" s="1"/>
  <c r="D16" i="10"/>
  <c r="T16" i="10" s="1"/>
  <c r="L32" i="1"/>
  <c r="L32" i="10" s="1"/>
  <c r="AB32" i="10" s="1"/>
  <c r="D32" i="10"/>
  <c r="T32" i="10" s="1"/>
  <c r="L25" i="1"/>
  <c r="L25" i="10" s="1"/>
  <c r="AB25" i="10" s="1"/>
  <c r="D25" i="10"/>
  <c r="T25" i="10" s="1"/>
  <c r="K10" i="1"/>
  <c r="K10" i="10" s="1"/>
  <c r="AA10" i="10" s="1"/>
  <c r="C10" i="10"/>
  <c r="S10" i="10" s="1"/>
  <c r="K19" i="1"/>
  <c r="K19" i="10" s="1"/>
  <c r="AA19" i="10" s="1"/>
  <c r="C19" i="10"/>
  <c r="S19" i="10" s="1"/>
  <c r="J28" i="1"/>
  <c r="J28" i="10" s="1"/>
  <c r="Z28" i="10" s="1"/>
  <c r="B28" i="10"/>
  <c r="R28" i="10" s="1"/>
  <c r="K32" i="1"/>
  <c r="K32" i="10" s="1"/>
  <c r="AA32" i="10" s="1"/>
  <c r="C32" i="10"/>
  <c r="S32" i="10" s="1"/>
  <c r="K25" i="1"/>
  <c r="K25" i="10" s="1"/>
  <c r="AA25" i="10" s="1"/>
  <c r="C25" i="10"/>
  <c r="S25" i="10" s="1"/>
  <c r="M32" i="1"/>
  <c r="M32" i="10" s="1"/>
  <c r="AC32" i="10" s="1"/>
  <c r="E32" i="10"/>
  <c r="U32" i="10" s="1"/>
  <c r="L10" i="1"/>
  <c r="L10" i="10" s="1"/>
  <c r="AB10" i="10" s="1"/>
  <c r="D10" i="10"/>
  <c r="T10" i="10" s="1"/>
  <c r="L19" i="1"/>
  <c r="L19" i="10" s="1"/>
  <c r="AB19" i="10" s="1"/>
  <c r="D19" i="10"/>
  <c r="T19" i="10" s="1"/>
  <c r="M28" i="1"/>
  <c r="M28" i="10" s="1"/>
  <c r="AC28" i="10" s="1"/>
  <c r="E28" i="10"/>
  <c r="U28" i="10" s="1"/>
  <c r="M31" i="1"/>
  <c r="M31" i="10" s="1"/>
  <c r="AC31" i="10" s="1"/>
  <c r="E31" i="10"/>
  <c r="U31" i="10" s="1"/>
  <c r="K16" i="1"/>
  <c r="K16" i="10" s="1"/>
  <c r="AA16" i="10" s="1"/>
  <c r="C16" i="10"/>
  <c r="S16" i="10" s="1"/>
  <c r="K13" i="1"/>
  <c r="K13" i="10" s="1"/>
  <c r="AA13" i="10" s="1"/>
  <c r="C13" i="10"/>
  <c r="S13" i="10" s="1"/>
  <c r="L28" i="1"/>
  <c r="L28" i="10" s="1"/>
  <c r="AB28" i="10" s="1"/>
  <c r="D28" i="10"/>
  <c r="T28" i="10" s="1"/>
  <c r="L13" i="1"/>
  <c r="L13" i="10" s="1"/>
  <c r="AB13" i="10" s="1"/>
  <c r="D13" i="10"/>
  <c r="T13" i="10" s="1"/>
  <c r="K22" i="1"/>
  <c r="K22" i="10" s="1"/>
  <c r="AA22" i="10" s="1"/>
  <c r="C22" i="10"/>
  <c r="S22" i="10" s="1"/>
  <c r="K28" i="1"/>
  <c r="K28" i="10" s="1"/>
  <c r="AA28" i="10" s="1"/>
  <c r="C28" i="10"/>
  <c r="S28" i="10" s="1"/>
  <c r="K31" i="1"/>
  <c r="K31" i="10" s="1"/>
  <c r="AA31" i="10" s="1"/>
  <c r="C31" i="10"/>
  <c r="S31" i="10" s="1"/>
  <c r="J16" i="1"/>
  <c r="J16" i="10" s="1"/>
  <c r="Z16" i="10" s="1"/>
  <c r="E16" i="1"/>
  <c r="J13" i="1"/>
  <c r="J13" i="10" s="1"/>
  <c r="Z13" i="10" s="1"/>
  <c r="E13" i="1"/>
  <c r="J19" i="1"/>
  <c r="J19" i="10" s="1"/>
  <c r="Z19" i="10" s="1"/>
  <c r="E19" i="1"/>
  <c r="J25" i="1"/>
  <c r="J25" i="10" s="1"/>
  <c r="Z25" i="10" s="1"/>
  <c r="E25" i="1"/>
  <c r="J10" i="1"/>
  <c r="J10" i="10" s="1"/>
  <c r="Z10" i="10" s="1"/>
  <c r="E10" i="1"/>
  <c r="J22" i="1"/>
  <c r="J22" i="10" s="1"/>
  <c r="Z22" i="10" s="1"/>
  <c r="E22" i="1"/>
  <c r="D33" i="1"/>
  <c r="L31" i="1"/>
  <c r="L31" i="10" s="1"/>
  <c r="AB31" i="10" s="1"/>
  <c r="B33" i="1"/>
  <c r="B33" i="10" s="1"/>
  <c r="R33" i="10" s="1"/>
  <c r="E33" i="1"/>
  <c r="E34" i="2" s="1"/>
  <c r="C33" i="1"/>
  <c r="J33" i="1" l="1"/>
  <c r="J33" i="10" s="1"/>
  <c r="Z33" i="10" s="1"/>
  <c r="M33" i="1"/>
  <c r="M33" i="10" s="1"/>
  <c r="AC33" i="10" s="1"/>
  <c r="E33" i="10"/>
  <c r="U33" i="10" s="1"/>
  <c r="K33" i="1"/>
  <c r="K33" i="10" s="1"/>
  <c r="AA33" i="10" s="1"/>
  <c r="C33" i="10"/>
  <c r="S33" i="10" s="1"/>
  <c r="M10" i="1"/>
  <c r="M10" i="10" s="1"/>
  <c r="AC10" i="10" s="1"/>
  <c r="E10" i="10"/>
  <c r="U10" i="10" s="1"/>
  <c r="M16" i="1"/>
  <c r="M16" i="10" s="1"/>
  <c r="AC16" i="10" s="1"/>
  <c r="E16" i="10"/>
  <c r="U16" i="10" s="1"/>
  <c r="M25" i="1"/>
  <c r="M25" i="10" s="1"/>
  <c r="AC25" i="10" s="1"/>
  <c r="E25" i="10"/>
  <c r="U25" i="10" s="1"/>
  <c r="M19" i="1"/>
  <c r="M19" i="10" s="1"/>
  <c r="AC19" i="10" s="1"/>
  <c r="E19" i="10"/>
  <c r="U19" i="10" s="1"/>
  <c r="L33" i="1"/>
  <c r="L33" i="10" s="1"/>
  <c r="AB33" i="10" s="1"/>
  <c r="D33" i="10"/>
  <c r="T33" i="10" s="1"/>
  <c r="M22" i="1"/>
  <c r="M22" i="10" s="1"/>
  <c r="AC22" i="10" s="1"/>
  <c r="E22" i="10"/>
  <c r="U22" i="10" s="1"/>
  <c r="M13" i="1"/>
  <c r="M13" i="10" s="1"/>
  <c r="AC13" i="10" s="1"/>
  <c r="E13" i="10"/>
  <c r="U13" i="10" s="1"/>
</calcChain>
</file>

<file path=xl/sharedStrings.xml><?xml version="1.0" encoding="utf-8"?>
<sst xmlns="http://schemas.openxmlformats.org/spreadsheetml/2006/main" count="2033" uniqueCount="173">
  <si>
    <t xml:space="preserve">Lima </t>
  </si>
  <si>
    <t>Ciudades</t>
  </si>
  <si>
    <t>Lima + Ciudades</t>
  </si>
  <si>
    <t>Norte</t>
  </si>
  <si>
    <t>Sur</t>
  </si>
  <si>
    <t>A/B</t>
  </si>
  <si>
    <t>C</t>
  </si>
  <si>
    <t>D/E</t>
  </si>
  <si>
    <t>Total</t>
  </si>
  <si>
    <t>Hogares Total</t>
  </si>
  <si>
    <t>Hogares con TV Pagada</t>
  </si>
  <si>
    <t>Personas con TV Pagada</t>
  </si>
  <si>
    <t>Mujeres Total</t>
  </si>
  <si>
    <t>Hombres Total</t>
  </si>
  <si>
    <t>Hom-Muj 11 - 17</t>
  </si>
  <si>
    <t>Hom 11 - 17</t>
  </si>
  <si>
    <t>Muj 11 - 17</t>
  </si>
  <si>
    <t>Hom-Muj 18 - 25</t>
  </si>
  <si>
    <t>Hom 18 - 25</t>
  </si>
  <si>
    <t>Muj 18 - 25</t>
  </si>
  <si>
    <t>Hom-Muj 26 - 37</t>
  </si>
  <si>
    <t>Hom 26 - 37</t>
  </si>
  <si>
    <t>Muj26 - 37</t>
  </si>
  <si>
    <t>Hom-Muj 38- 49</t>
  </si>
  <si>
    <t>Hom 38 - 49</t>
  </si>
  <si>
    <t>Muj 38 - 49</t>
  </si>
  <si>
    <t>Hom-Muj 50- 99</t>
  </si>
  <si>
    <t>Hom 50 - 99</t>
  </si>
  <si>
    <t>Muj 50 - 99</t>
  </si>
  <si>
    <t>Amas</t>
  </si>
  <si>
    <t>Jefes</t>
  </si>
  <si>
    <t>Muj 18+</t>
  </si>
  <si>
    <t>Hom 18+</t>
  </si>
  <si>
    <t>Hom-Muj 18+</t>
  </si>
  <si>
    <t>Hom-Muj 3 - 10</t>
  </si>
  <si>
    <t>Personas Total 3+ años</t>
  </si>
  <si>
    <t>Hom 3 - 10</t>
  </si>
  <si>
    <t>Muj 3 - 10</t>
  </si>
  <si>
    <t>UNIVERSOS 2013</t>
  </si>
  <si>
    <t>UNIVERSOS 2014</t>
  </si>
  <si>
    <t>Recuento</t>
  </si>
  <si>
    <t>4_TIENETV</t>
  </si>
  <si>
    <t>SI</t>
  </si>
  <si>
    <t>NO</t>
  </si>
  <si>
    <t>NSE2U</t>
  </si>
  <si>
    <t>A</t>
  </si>
  <si>
    <t>B</t>
  </si>
  <si>
    <t>D</t>
  </si>
  <si>
    <t>E</t>
  </si>
  <si>
    <t>17_RECCBLOSAT</t>
  </si>
  <si>
    <t>Si</t>
  </si>
  <si>
    <t>No</t>
  </si>
  <si>
    <t>HOGARES CON CABLE</t>
  </si>
  <si>
    <t>HOGARES SIN CABLE</t>
  </si>
  <si>
    <t>PERSONAS CON CABLE</t>
  </si>
  <si>
    <t>PERSONAS SINC ABLE</t>
  </si>
  <si>
    <t>PERSONAS TOTAL +3 AÑOS</t>
  </si>
  <si>
    <t>HOGARES TOTAL CON TV</t>
  </si>
  <si>
    <t>[0-2]</t>
  </si>
  <si>
    <t>[3-10]</t>
  </si>
  <si>
    <t>[11-17]</t>
  </si>
  <si>
    <t>[18-25]</t>
  </si>
  <si>
    <t>[26-37]</t>
  </si>
  <si>
    <t>[38-49]</t>
  </si>
  <si>
    <t>PERSONAS CON CABLE 3+</t>
  </si>
  <si>
    <t>MUJERES TOTAL 3+</t>
  </si>
  <si>
    <t>HOMBRES TOTAL 3+</t>
  </si>
  <si>
    <t>HOMBRE-MUJER 3-10</t>
  </si>
  <si>
    <t>HOMBRE 3-10</t>
  </si>
  <si>
    <t>MUJER 3-10</t>
  </si>
  <si>
    <t>HOMBRE-MUJER 11-17</t>
  </si>
  <si>
    <t>HOMBRE-MUJER 18-25</t>
  </si>
  <si>
    <t>HOMBRE-MUJER 38-49</t>
  </si>
  <si>
    <t>HOMBRE-MUJER 50-99</t>
  </si>
  <si>
    <t>HOMBRE 11-17</t>
  </si>
  <si>
    <t>MUJER 11-17</t>
  </si>
  <si>
    <t>HOMBRE 18-25</t>
  </si>
  <si>
    <t>MUJER 18-25</t>
  </si>
  <si>
    <t>HOMBRE 38-49</t>
  </si>
  <si>
    <t>MUJER 38-49</t>
  </si>
  <si>
    <t>HOMBRE 50-99</t>
  </si>
  <si>
    <t>MUJER 50-99</t>
  </si>
  <si>
    <t>PER_SEXO</t>
  </si>
  <si>
    <t>MASCULINO</t>
  </si>
  <si>
    <t>FEMENINO</t>
  </si>
  <si>
    <t>MUJER 26-37</t>
  </si>
  <si>
    <t>HOMBRE 26-37</t>
  </si>
  <si>
    <t>HOMBRE-MUJER 26-37</t>
  </si>
  <si>
    <t>JEFES-AMAS</t>
  </si>
  <si>
    <t>Mujeres 18+</t>
  </si>
  <si>
    <t>Hombres 18+</t>
  </si>
  <si>
    <t>PERSONAS SIN CABLE 3+</t>
  </si>
  <si>
    <t>AB</t>
  </si>
  <si>
    <t>DE</t>
  </si>
  <si>
    <t>EDAD_RANGO_RATING</t>
  </si>
  <si>
    <t>0-2</t>
  </si>
  <si>
    <t>3-10</t>
  </si>
  <si>
    <t>11-17</t>
  </si>
  <si>
    <t>18-25</t>
  </si>
  <si>
    <t>26-37</t>
  </si>
  <si>
    <t>38-49</t>
  </si>
  <si>
    <t>50-99</t>
  </si>
  <si>
    <t>a. MM12 = CIUDADES</t>
  </si>
  <si>
    <t>MUESTRA MAESTRA CIUDADES 2013</t>
  </si>
  <si>
    <t>NSE_3</t>
  </si>
  <si>
    <t>REGION</t>
  </si>
  <si>
    <t>NORTE</t>
  </si>
  <si>
    <t>SUR</t>
  </si>
  <si>
    <t>[50-99]</t>
  </si>
  <si>
    <t>2014 VS 2013</t>
  </si>
  <si>
    <t>2014 VS 2013(PORCENTAJES)</t>
  </si>
  <si>
    <t>MUESTRA MAESTRA LIMA 2013</t>
  </si>
  <si>
    <t>NSE_FINAL</t>
  </si>
  <si>
    <t>EDAD_RATIN</t>
  </si>
  <si>
    <t>CON TELEVISOR</t>
  </si>
  <si>
    <t>LIMA</t>
  </si>
  <si>
    <t>TOTAL</t>
  </si>
  <si>
    <t>CONSISTENCIA</t>
  </si>
  <si>
    <t>1</t>
  </si>
  <si>
    <t>2</t>
  </si>
  <si>
    <t>NSE_TOT</t>
  </si>
  <si>
    <t>CIUDAD</t>
  </si>
  <si>
    <t>1,00</t>
  </si>
  <si>
    <t>2,00</t>
  </si>
  <si>
    <t>EDAD_RAT</t>
  </si>
  <si>
    <t>3,00</t>
  </si>
  <si>
    <t>4,00</t>
  </si>
  <si>
    <t>5,00</t>
  </si>
  <si>
    <t>6,00</t>
  </si>
  <si>
    <t>7,00</t>
  </si>
  <si>
    <t>RECCBLOSAT</t>
  </si>
  <si>
    <t>PLAZA</t>
  </si>
  <si>
    <t>Hogares Total con Tv</t>
  </si>
  <si>
    <t>MUESTRA MAESTRA CIUDADES 2015</t>
  </si>
  <si>
    <t>MUESTRA MAESTRA LIMA 2015</t>
  </si>
  <si>
    <t>PER_ESJEFE</t>
  </si>
  <si>
    <t>0</t>
  </si>
  <si>
    <t>PER_ESAMA</t>
  </si>
  <si>
    <t>a. T_TV = 1,00</t>
  </si>
  <si>
    <t>PERSONAS TOTAL</t>
  </si>
  <si>
    <t>SOLO PERSONAS DE 3 A MÁS AÑOS</t>
  </si>
  <si>
    <t>PERSONAS TOT CON CABLE</t>
  </si>
  <si>
    <t>PERSONAS TOT SIN CABLE</t>
  </si>
  <si>
    <t>OK</t>
  </si>
  <si>
    <t>Mujeres Total 3+</t>
  </si>
  <si>
    <t>Hombres Total 3+</t>
  </si>
  <si>
    <t>PERSONAS CON CABLE TOT</t>
  </si>
  <si>
    <t>PERSONAS SINC ABLE  TOT</t>
  </si>
  <si>
    <t>Personas Con TV Pagada 3+</t>
  </si>
  <si>
    <t>AREQUIPA</t>
  </si>
  <si>
    <t>CHICLAYO</t>
  </si>
  <si>
    <t>CUSCO</t>
  </si>
  <si>
    <t>HUANCAYO</t>
  </si>
  <si>
    <t>PIURA</t>
  </si>
  <si>
    <t>TRUJILLO</t>
  </si>
  <si>
    <t>a. 4_TIENETV = 1</t>
  </si>
  <si>
    <t>Universos Lima</t>
  </si>
  <si>
    <t xml:space="preserve"> </t>
  </si>
  <si>
    <t>Masculino</t>
  </si>
  <si>
    <t>Femenino</t>
  </si>
  <si>
    <t>T_TV</t>
  </si>
  <si>
    <t>MUESTRA MAESTRA CIUDADES 2016</t>
  </si>
  <si>
    <t>Universos Ciudades</t>
  </si>
  <si>
    <t>NSE_TOT_2015</t>
  </si>
  <si>
    <t>PERSONAS SIN CABLE  TOT</t>
  </si>
  <si>
    <t>%nse</t>
  </si>
  <si>
    <t>MUESTRA MAESTRA CIUDADES 2017</t>
  </si>
  <si>
    <t>Tenencia_Cable</t>
  </si>
  <si>
    <t>Sexo</t>
  </si>
  <si>
    <t>Tenencia Cable</t>
  </si>
  <si>
    <t>TV</t>
  </si>
  <si>
    <t>MUESTRA MAESTRA LIMA 2017</t>
  </si>
  <si>
    <t>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</si>
</sst>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164" formatCode="_ * #,##0.00_ ;_ * \-#,##0.00_ ;_ * &quot;-&quot;??_ ;_ @_ "/>
    <numFmt numFmtId="165" formatCode="###0"/>
    <numFmt numFmtId="166" formatCode="#,##0.00000"/>
    <numFmt numFmtId="167" formatCode="#,##0.0"/>
    <numFmt numFmtId="168" formatCode="###0.0"/>
    <numFmt numFmtId="169" formatCode="0.000"/>
    <numFmt numFmtId="170" formatCode="###0.00"/>
    <numFmt numFmtId="171" formatCode="0.0"/>
    <numFmt numFmtId="172" formatCode="###0.000"/>
    <numFmt numFmtId="173" formatCode="###0.00000"/>
    <numFmt numFmtId="174" formatCode="_ * #,##0_ ;_ * \-#,##0_ ;_ * &quot;-&quot;??_ ;_ @_ "/>
    <numFmt numFmtId="175" formatCode="0.0;[Red]0.0"/>
    <numFmt numFmtId="176" formatCode="0.0%"/>
    <numFmt numFmtId="177" formatCode="0.000%"/>
    <numFmt numFmtId="178" formatCode="#;##0.000000"/>
  </numFmts>
  <fonts count="50" x14ac:knownFonts="1">
    <font>
      <sz val="11"/>
      <color theme="1"/>
      <name val="Calibri"/>
      <family val="2"/>
      <scheme val="minor"/>
    </font>
    <font>
      <sz val="10"/>
      <color theme="0" tint="-0.34998626667073579"/>
      <name val="Arial"/>
      <family val="2"/>
    </font>
    <font>
      <sz val="14"/>
      <name val="Arial"/>
      <family val="2"/>
    </font>
    <font>
      <sz val="12"/>
      <color rgb="FF000000"/>
      <name val="Calibri"/>
      <family val="2"/>
    </font>
    <font>
      <b/>
      <sz val="12"/>
      <color theme="0"/>
      <name val="Calibri"/>
      <family val="2"/>
    </font>
    <font>
      <sz val="12"/>
      <color theme="0"/>
      <name val="Calibri"/>
      <family val="2"/>
    </font>
    <font>
      <b/>
      <sz val="12"/>
      <color rgb="FF000000"/>
      <name val="Calibri"/>
      <family val="2"/>
    </font>
    <font>
      <b/>
      <sz val="12"/>
      <color theme="3" tint="-0.249977111117893"/>
      <name val="Calibri"/>
      <family val="2"/>
    </font>
    <font>
      <sz val="12"/>
      <color theme="0" tint="-0.249977111117893"/>
      <name val="Calibri"/>
      <family val="2"/>
    </font>
    <font>
      <sz val="11"/>
      <color theme="1" tint="0.249977111117893"/>
      <name val="Calibri"/>
      <family val="2"/>
      <scheme val="minor"/>
    </font>
    <font>
      <sz val="10"/>
      <name val="Arial"/>
      <family val="2"/>
    </font>
    <font>
      <sz val="9"/>
      <color indexed="8"/>
      <name val="Arial"/>
      <family val="2"/>
    </font>
    <font>
      <sz val="11"/>
      <name val="Calibri"/>
      <family val="2"/>
      <scheme val="minor"/>
    </font>
    <font>
      <b/>
      <sz val="12"/>
      <name val="Calibri"/>
      <family val="2"/>
    </font>
    <font>
      <b/>
      <sz val="12"/>
      <color theme="0"/>
      <name val="Calibri"/>
      <family val="2"/>
      <scheme val="minor"/>
    </font>
    <font>
      <sz val="12"/>
      <name val="Calibri"/>
      <family val="2"/>
    </font>
    <font>
      <b/>
      <u/>
      <sz val="10"/>
      <name val="Arial"/>
      <family val="2"/>
    </font>
    <font>
      <b/>
      <u/>
      <sz val="10"/>
      <color theme="0"/>
      <name val="Arial"/>
      <family val="2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u/>
      <sz val="11"/>
      <color rgb="FFC0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theme="1" tint="0.14999847407452621"/>
      <name val="Calibri"/>
      <family val="2"/>
      <scheme val="minor"/>
    </font>
    <font>
      <b/>
      <u/>
      <sz val="14"/>
      <color theme="1"/>
      <name val="Arial"/>
      <family val="2"/>
    </font>
    <font>
      <sz val="10"/>
      <name val="Arial"/>
      <family val="2"/>
    </font>
    <font>
      <b/>
      <u/>
      <sz val="9"/>
      <color indexed="8"/>
      <name val="Arial"/>
      <family val="2"/>
    </font>
    <font>
      <b/>
      <u/>
      <sz val="13"/>
      <color theme="0"/>
      <name val="Arial"/>
      <family val="2"/>
    </font>
    <font>
      <b/>
      <u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4"/>
      <color rgb="FFFFFF00"/>
      <name val="Calibri"/>
      <family val="2"/>
      <scheme val="minor"/>
    </font>
    <font>
      <b/>
      <sz val="12"/>
      <color rgb="FFFFFF00"/>
      <name val="Calibri"/>
      <family val="2"/>
    </font>
    <font>
      <sz val="11"/>
      <color theme="1" tint="0.499984740745262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Arial"/>
      <family val="2"/>
    </font>
    <font>
      <sz val="9"/>
      <color indexed="8"/>
      <name val="Arial"/>
      <family val="2"/>
    </font>
    <font>
      <sz val="11"/>
      <color theme="0" tint="-0.34998626667073579"/>
      <name val="Calibri"/>
      <family val="2"/>
      <scheme val="minor"/>
    </font>
    <font>
      <sz val="9"/>
      <color rgb="FF000000"/>
      <name val="Arial"/>
      <family val="2"/>
    </font>
    <font>
      <b/>
      <sz val="12"/>
      <color rgb="FFFF0000"/>
      <name val="Calibri"/>
      <family val="2"/>
    </font>
    <font>
      <i/>
      <sz val="11"/>
      <color theme="3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3"/>
      <name val="Calibri"/>
      <family val="2"/>
    </font>
    <font>
      <b/>
      <sz val="12"/>
      <color theme="3"/>
      <name val="Calibri"/>
      <family val="2"/>
    </font>
    <font>
      <b/>
      <sz val="13"/>
      <color theme="0"/>
      <name val="Calibri"/>
      <family val="2"/>
    </font>
    <font>
      <sz val="8"/>
      <color rgb="FF000000"/>
      <name val="Arial"/>
      <family val="2"/>
    </font>
    <font>
      <sz val="12"/>
      <color theme="3" tint="-0.249977111117893"/>
      <name val="Calibri"/>
      <family val="2"/>
    </font>
  </fonts>
  <fills count="3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BEEF3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0066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1EFAA1"/>
        <bgColor indexed="64"/>
      </patternFill>
    </fill>
    <fill>
      <patternFill patternType="solid">
        <fgColor rgb="FFFAE8FE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5C6FE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BF8F00"/>
        <bgColor indexed="64"/>
      </patternFill>
    </fill>
    <fill>
      <patternFill patternType="solid">
        <fgColor rgb="FFFFF0C5"/>
        <bgColor indexed="64"/>
      </patternFill>
    </fill>
  </fills>
  <borders count="353"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rgb="FF000000"/>
      </right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thin">
        <color rgb="FF000000"/>
      </right>
      <top style="medium">
        <color rgb="FF000000"/>
      </top>
      <bottom style="medium">
        <color indexed="64"/>
      </bottom>
      <diagonal/>
    </border>
    <border>
      <left style="thick">
        <color indexed="8"/>
      </left>
      <right/>
      <top style="thick">
        <color indexed="8"/>
      </top>
      <bottom/>
      <diagonal/>
    </border>
    <border>
      <left/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 style="thin">
        <color indexed="8"/>
      </right>
      <top style="thick">
        <color indexed="8"/>
      </top>
      <bottom/>
      <diagonal/>
    </border>
    <border>
      <left style="thin">
        <color indexed="8"/>
      </left>
      <right style="thin">
        <color indexed="8"/>
      </right>
      <top style="thick">
        <color indexed="8"/>
      </top>
      <bottom/>
      <diagonal/>
    </border>
    <border>
      <left style="thin">
        <color indexed="8"/>
      </left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/>
      <top/>
      <bottom/>
      <diagonal/>
    </border>
    <border>
      <left/>
      <right style="thick">
        <color indexed="8"/>
      </right>
      <top/>
      <bottom/>
      <diagonal/>
    </border>
    <border>
      <left style="thick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ck">
        <color indexed="8"/>
      </right>
      <top/>
      <bottom/>
      <diagonal/>
    </border>
    <border>
      <left style="thick">
        <color indexed="8"/>
      </left>
      <right/>
      <top/>
      <bottom style="thick">
        <color indexed="8"/>
      </bottom>
      <diagonal/>
    </border>
    <border>
      <left/>
      <right style="thick">
        <color indexed="8"/>
      </right>
      <top/>
      <bottom style="thick">
        <color indexed="8"/>
      </bottom>
      <diagonal/>
    </border>
    <border>
      <left style="thick">
        <color indexed="8"/>
      </left>
      <right style="thin">
        <color indexed="8"/>
      </right>
      <top/>
      <bottom style="thick">
        <color indexed="8"/>
      </bottom>
      <diagonal/>
    </border>
    <border>
      <left style="thin">
        <color indexed="8"/>
      </left>
      <right style="thin">
        <color indexed="8"/>
      </right>
      <top/>
      <bottom style="thick">
        <color indexed="8"/>
      </bottom>
      <diagonal/>
    </border>
    <border>
      <left style="thin">
        <color indexed="8"/>
      </left>
      <right style="thick">
        <color indexed="8"/>
      </right>
      <top/>
      <bottom style="thick">
        <color indexed="8"/>
      </bottom>
      <diagonal/>
    </border>
    <border>
      <left style="thick">
        <color indexed="8"/>
      </left>
      <right style="thin">
        <color indexed="8"/>
      </right>
      <top style="thick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ck">
        <color indexed="8"/>
      </top>
      <bottom style="thin">
        <color indexed="8"/>
      </bottom>
      <diagonal/>
    </border>
    <border>
      <left style="thin">
        <color indexed="8"/>
      </left>
      <right style="thick">
        <color indexed="8"/>
      </right>
      <top style="thick">
        <color indexed="8"/>
      </top>
      <bottom style="thin">
        <color indexed="8"/>
      </bottom>
      <diagonal/>
    </border>
    <border>
      <left style="thick">
        <color indexed="8"/>
      </left>
      <right style="thin">
        <color indexed="8"/>
      </right>
      <top style="thin">
        <color indexed="8"/>
      </top>
      <bottom style="thick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ck">
        <color indexed="8"/>
      </bottom>
      <diagonal/>
    </border>
    <border>
      <left style="thin">
        <color indexed="8"/>
      </left>
      <right style="thick">
        <color indexed="8"/>
      </right>
      <top style="thin">
        <color indexed="8"/>
      </top>
      <bottom style="thick">
        <color indexed="8"/>
      </bottom>
      <diagonal/>
    </border>
    <border>
      <left style="thick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ck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ck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8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auto="1"/>
      </left>
      <right style="dotted">
        <color auto="1"/>
      </right>
      <top style="medium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medium">
        <color auto="1"/>
      </top>
      <bottom style="dotted">
        <color auto="1"/>
      </bottom>
      <diagonal/>
    </border>
    <border>
      <left style="dotted">
        <color auto="1"/>
      </left>
      <right style="medium">
        <color auto="1"/>
      </right>
      <top style="medium">
        <color auto="1"/>
      </top>
      <bottom style="dotted">
        <color auto="1"/>
      </bottom>
      <diagonal/>
    </border>
    <border>
      <left style="medium">
        <color auto="1"/>
      </left>
      <right style="dotted">
        <color auto="1"/>
      </right>
      <top style="dotted">
        <color auto="1"/>
      </top>
      <bottom style="medium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medium">
        <color auto="1"/>
      </bottom>
      <diagonal/>
    </border>
    <border>
      <left style="dotted">
        <color auto="1"/>
      </left>
      <right style="medium">
        <color auto="1"/>
      </right>
      <top style="dotted">
        <color auto="1"/>
      </top>
      <bottom style="medium">
        <color auto="1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hair">
        <color rgb="FF000000"/>
      </right>
      <top style="medium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  <diagonal/>
    </border>
    <border>
      <left style="hair">
        <color rgb="FF000000"/>
      </left>
      <right style="medium">
        <color rgb="FF000000"/>
      </right>
      <top style="medium">
        <color rgb="FF000000"/>
      </top>
      <bottom style="hair">
        <color rgb="FF000000"/>
      </bottom>
      <diagonal/>
    </border>
    <border>
      <left style="medium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medium">
        <color rgb="FF000000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medium">
        <color indexed="64"/>
      </right>
      <top style="dotted">
        <color indexed="64"/>
      </top>
      <bottom/>
      <diagonal/>
    </border>
    <border>
      <left style="medium">
        <color auto="1"/>
      </left>
      <right style="dotted">
        <color auto="1"/>
      </right>
      <top/>
      <bottom style="medium">
        <color auto="1"/>
      </bottom>
      <diagonal/>
    </border>
    <border>
      <left style="dotted">
        <color auto="1"/>
      </left>
      <right style="dotted">
        <color auto="1"/>
      </right>
      <top/>
      <bottom style="medium">
        <color auto="1"/>
      </bottom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hair">
        <color rgb="FF000000"/>
      </right>
      <top style="medium">
        <color rgb="FF000000"/>
      </top>
      <bottom/>
      <diagonal/>
    </border>
    <border>
      <left style="hair">
        <color rgb="FF000000"/>
      </left>
      <right style="hair">
        <color rgb="FF000000"/>
      </right>
      <top style="medium">
        <color rgb="FF000000"/>
      </top>
      <bottom/>
      <diagonal/>
    </border>
    <border>
      <left style="hair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ck">
        <color indexed="8"/>
      </right>
      <top style="medium">
        <color indexed="64"/>
      </top>
      <bottom/>
      <diagonal/>
    </border>
    <border>
      <left style="thick">
        <color indexed="8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ck">
        <color indexed="8"/>
      </right>
      <top/>
      <bottom style="medium">
        <color indexed="64"/>
      </bottom>
      <diagonal/>
    </border>
    <border>
      <left style="thick">
        <color indexed="8"/>
      </left>
      <right style="thin">
        <color indexed="8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dotted">
        <color indexed="64"/>
      </bottom>
      <diagonal/>
    </border>
    <border>
      <left style="medium">
        <color auto="1"/>
      </left>
      <right/>
      <top style="medium">
        <color auto="1"/>
      </top>
      <bottom style="dotted">
        <color auto="1"/>
      </bottom>
      <diagonal/>
    </border>
    <border>
      <left style="medium">
        <color auto="1"/>
      </left>
      <right/>
      <top style="dotted">
        <color auto="1"/>
      </top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hair">
        <color auto="1"/>
      </left>
      <right style="medium">
        <color indexed="64"/>
      </right>
      <top style="medium">
        <color auto="1"/>
      </top>
      <bottom style="hair">
        <color auto="1"/>
      </bottom>
      <diagonal/>
    </border>
    <border>
      <left/>
      <right/>
      <top/>
      <bottom style="thin">
        <color indexed="64"/>
      </bottom>
      <diagonal/>
    </border>
    <border>
      <left style="medium">
        <color auto="1"/>
      </left>
      <right/>
      <top style="medium">
        <color auto="1"/>
      </top>
      <bottom style="hair">
        <color auto="1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hair">
        <color auto="1"/>
      </right>
      <top style="medium">
        <color auto="1"/>
      </top>
      <bottom style="hair">
        <color auto="1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auto="1"/>
      </bottom>
      <diagonal/>
    </border>
    <border>
      <left style="medium">
        <color indexed="64"/>
      </left>
      <right style="medium">
        <color indexed="64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 style="medium">
        <color indexed="64"/>
      </right>
      <top style="hair">
        <color auto="1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auto="1"/>
      </top>
      <bottom style="hair">
        <color auto="1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hair">
        <color auto="1"/>
      </left>
      <right/>
      <top style="medium">
        <color auto="1"/>
      </top>
      <bottom style="hair">
        <color auto="1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ck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ck">
        <color indexed="8"/>
      </right>
      <top style="thin">
        <color indexed="8"/>
      </top>
      <bottom style="thin">
        <color indexed="8"/>
      </bottom>
      <diagonal/>
    </border>
    <border>
      <left style="thick">
        <color indexed="8"/>
      </left>
      <right style="thin">
        <color indexed="8"/>
      </right>
      <top style="thin">
        <color indexed="8"/>
      </top>
      <bottom style="thick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ck">
        <color indexed="8"/>
      </bottom>
      <diagonal/>
    </border>
    <border>
      <left style="thin">
        <color indexed="8"/>
      </left>
      <right style="thick">
        <color indexed="8"/>
      </right>
      <top style="thin">
        <color indexed="8"/>
      </top>
      <bottom style="thick">
        <color indexed="8"/>
      </bottom>
      <diagonal/>
    </border>
    <border>
      <left style="thick">
        <color indexed="8"/>
      </left>
      <right/>
      <top style="thick">
        <color indexed="8"/>
      </top>
      <bottom style="thick">
        <color indexed="8"/>
      </bottom>
      <diagonal/>
    </border>
    <border>
      <left/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ck"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ck">
        <color indexed="8"/>
      </left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 style="thick">
        <color indexed="8"/>
      </right>
      <top/>
      <bottom/>
      <diagonal/>
    </border>
    <border>
      <left style="thick">
        <color indexed="8"/>
      </left>
      <right style="thick">
        <color indexed="8"/>
      </right>
      <top/>
      <bottom style="thick">
        <color indexed="8"/>
      </bottom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medium">
        <color indexed="8"/>
      </right>
      <top/>
      <bottom style="medium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indexed="64"/>
      </right>
      <top/>
      <bottom/>
      <diagonal/>
    </border>
    <border>
      <left style="thin">
        <color indexed="8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hair">
        <color indexed="64"/>
      </left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8"/>
      </top>
      <bottom/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/>
      <bottom/>
      <diagonal/>
    </border>
    <border>
      <left style="medium">
        <color indexed="64"/>
      </left>
      <right style="thin">
        <color indexed="8"/>
      </right>
      <top/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medium">
        <color indexed="8"/>
      </right>
      <top style="thin">
        <color indexed="8"/>
      </top>
      <bottom/>
      <diagonal/>
    </border>
    <border>
      <left style="medium">
        <color indexed="64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 style="medium">
        <color indexed="64"/>
      </right>
      <top style="medium">
        <color indexed="64"/>
      </top>
      <bottom/>
      <diagonal/>
    </border>
    <border>
      <left style="thick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8"/>
      </left>
      <right/>
      <top style="thin">
        <color indexed="8"/>
      </top>
      <bottom style="medium">
        <color indexed="64"/>
      </bottom>
      <diagonal/>
    </border>
    <border>
      <left/>
      <right/>
      <top style="thin">
        <color indexed="8"/>
      </top>
      <bottom style="medium">
        <color indexed="64"/>
      </bottom>
      <diagonal/>
    </border>
    <border>
      <left/>
      <right style="medium">
        <color indexed="8"/>
      </right>
      <top style="thin">
        <color indexed="8"/>
      </top>
      <bottom style="medium">
        <color indexed="64"/>
      </bottom>
      <diagonal/>
    </border>
    <border>
      <left style="medium">
        <color indexed="8"/>
      </left>
      <right/>
      <top style="thin">
        <color indexed="8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auto="1"/>
      </bottom>
      <diagonal/>
    </border>
    <border>
      <left style="medium">
        <color indexed="64"/>
      </left>
      <right/>
      <top style="hair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auto="1"/>
      </top>
      <bottom style="thin">
        <color auto="1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auto="1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/>
      <right/>
      <top style="medium">
        <color indexed="64"/>
      </top>
      <bottom style="thin">
        <color indexed="8"/>
      </bottom>
      <diagonal/>
    </border>
    <border>
      <left/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medium">
        <color indexed="8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ck">
        <color indexed="8"/>
      </left>
      <right/>
      <top style="thick">
        <color indexed="8"/>
      </top>
      <bottom style="thin">
        <color indexed="8"/>
      </bottom>
      <diagonal/>
    </border>
    <border>
      <left/>
      <right/>
      <top style="thick">
        <color indexed="8"/>
      </top>
      <bottom style="thin">
        <color indexed="8"/>
      </bottom>
      <diagonal/>
    </border>
    <border>
      <left/>
      <right style="thick">
        <color indexed="8"/>
      </right>
      <top style="thick">
        <color indexed="8"/>
      </top>
      <bottom style="thin">
        <color indexed="8"/>
      </bottom>
      <diagonal/>
    </border>
    <border>
      <left style="thick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ck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ck">
        <color indexed="8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rgb="FF000000"/>
      </bottom>
      <diagonal/>
    </border>
    <border>
      <left style="medium">
        <color indexed="64"/>
      </left>
      <right/>
      <top style="hair">
        <color rgb="FF000000"/>
      </top>
      <bottom style="hair">
        <color rgb="FF000000"/>
      </bottom>
      <diagonal/>
    </border>
    <border>
      <left style="medium">
        <color indexed="64"/>
      </left>
      <right/>
      <top style="hair">
        <color rgb="FF000000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auto="1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rgb="FF000000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rgb="FF000000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hair">
        <color indexed="64"/>
      </right>
      <top style="hair">
        <color rgb="FF000000"/>
      </top>
      <bottom style="hair">
        <color rgb="FF000000"/>
      </bottom>
      <diagonal/>
    </border>
    <border>
      <left style="hair">
        <color indexed="64"/>
      </left>
      <right style="hair">
        <color indexed="64"/>
      </right>
      <top style="hair">
        <color rgb="FF000000"/>
      </top>
      <bottom style="hair">
        <color rgb="FF000000"/>
      </bottom>
      <diagonal/>
    </border>
    <border>
      <left style="hair">
        <color indexed="64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hair">
        <color indexed="64"/>
      </right>
      <top style="hair">
        <color rgb="FF000000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rgb="FF000000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medium">
        <color indexed="64"/>
      </right>
      <top style="hair">
        <color rgb="FF000000"/>
      </top>
      <bottom style="hair">
        <color rgb="FF000000"/>
      </bottom>
      <diagonal/>
    </border>
    <border>
      <left/>
      <right style="medium">
        <color indexed="64"/>
      </right>
      <top style="hair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medium">
        <color indexed="64"/>
      </left>
      <right style="hair">
        <color rgb="FF000000"/>
      </right>
      <top style="medium">
        <color indexed="64"/>
      </top>
      <bottom/>
      <diagonal/>
    </border>
    <border>
      <left style="medium">
        <color indexed="64"/>
      </left>
      <right style="hair">
        <color rgb="FF000000"/>
      </right>
      <top/>
      <bottom style="hair">
        <color rgb="FF000000"/>
      </bottom>
      <diagonal/>
    </border>
    <border>
      <left/>
      <right style="medium">
        <color indexed="64"/>
      </right>
      <top/>
      <bottom style="hair">
        <color rgb="FF000000"/>
      </bottom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 style="hair">
        <color rgb="FF000000"/>
      </right>
      <top style="medium">
        <color indexed="64"/>
      </top>
      <bottom/>
      <diagonal/>
    </border>
    <border>
      <left style="hair">
        <color rgb="FF000000"/>
      </left>
      <right style="hair">
        <color rgb="FF000000"/>
      </right>
      <top style="medium">
        <color indexed="64"/>
      </top>
      <bottom/>
      <diagonal/>
    </border>
    <border>
      <left style="hair">
        <color rgb="FF000000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1">
    <xf numFmtId="0" fontId="0" fillId="0" borderId="0"/>
    <xf numFmtId="0" fontId="10" fillId="0" borderId="0"/>
    <xf numFmtId="0" fontId="10" fillId="0" borderId="0"/>
    <xf numFmtId="0" fontId="28" fillId="0" borderId="0"/>
    <xf numFmtId="0" fontId="10" fillId="0" borderId="0"/>
    <xf numFmtId="0" fontId="10" fillId="0" borderId="0"/>
    <xf numFmtId="164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0" fontId="10" fillId="0" borderId="0"/>
    <xf numFmtId="0" fontId="38" fillId="0" borderId="0"/>
    <xf numFmtId="0" fontId="10" fillId="0" borderId="0"/>
    <xf numFmtId="49" fontId="48" fillId="31" borderId="340">
      <alignment horizontal="left" vertical="top"/>
    </xf>
    <xf numFmtId="49" fontId="48" fillId="31" borderId="68">
      <alignment horizontal="left" vertical="top"/>
    </xf>
    <xf numFmtId="49" fontId="48" fillId="31" borderId="341">
      <alignment horizontal="left" vertical="top" wrapText="1"/>
    </xf>
    <xf numFmtId="49" fontId="48" fillId="31" borderId="69">
      <alignment horizontal="left" vertical="top" wrapText="1"/>
    </xf>
    <xf numFmtId="49" fontId="48" fillId="31" borderId="342">
      <alignment horizontal="left" vertical="top"/>
    </xf>
    <xf numFmtId="49" fontId="48" fillId="31" borderId="10">
      <alignment horizontal="left" vertical="top"/>
    </xf>
    <xf numFmtId="49" fontId="48" fillId="31" borderId="343">
      <alignment horizontal="left" vertical="top"/>
    </xf>
    <xf numFmtId="49" fontId="48" fillId="31" borderId="10">
      <alignment horizontal="left" vertical="top" indent="1"/>
    </xf>
    <xf numFmtId="178" fontId="48" fillId="27" borderId="344">
      <alignment horizontal="right" vertical="top"/>
    </xf>
    <xf numFmtId="178" fontId="48" fillId="32" borderId="344">
      <alignment horizontal="right" vertical="top"/>
    </xf>
  </cellStyleXfs>
  <cellXfs count="1292">
    <xf numFmtId="0" fontId="0" fillId="0" borderId="0" xfId="0"/>
    <xf numFmtId="3" fontId="1" fillId="0" borderId="0" xfId="0" applyNumberFormat="1" applyFont="1"/>
    <xf numFmtId="0" fontId="2" fillId="2" borderId="0" xfId="0" applyFont="1" applyFill="1"/>
    <xf numFmtId="0" fontId="0" fillId="2" borderId="0" xfId="0" applyFill="1"/>
    <xf numFmtId="0" fontId="3" fillId="0" borderId="1" xfId="0" applyFont="1" applyBorder="1" applyAlignment="1">
      <alignment wrapText="1"/>
    </xf>
    <xf numFmtId="0" fontId="4" fillId="3" borderId="6" xfId="0" applyFont="1" applyFill="1" applyBorder="1" applyAlignment="1">
      <alignment horizontal="center" wrapText="1" readingOrder="1"/>
    </xf>
    <xf numFmtId="0" fontId="4" fillId="3" borderId="8" xfId="0" applyFont="1" applyFill="1" applyBorder="1" applyAlignment="1">
      <alignment horizontal="center" wrapText="1" readingOrder="1"/>
    </xf>
    <xf numFmtId="0" fontId="3" fillId="0" borderId="9" xfId="0" applyFont="1" applyBorder="1" applyAlignment="1">
      <alignment wrapText="1"/>
    </xf>
    <xf numFmtId="0" fontId="5" fillId="3" borderId="10" xfId="0" applyFont="1" applyFill="1" applyBorder="1" applyAlignment="1">
      <alignment horizontal="center" wrapText="1" readingOrder="1"/>
    </xf>
    <xf numFmtId="0" fontId="5" fillId="3" borderId="11" xfId="0" applyFont="1" applyFill="1" applyBorder="1" applyAlignment="1">
      <alignment horizontal="center" wrapText="1" readingOrder="1"/>
    </xf>
    <xf numFmtId="0" fontId="5" fillId="3" borderId="12" xfId="0" applyFont="1" applyFill="1" applyBorder="1" applyAlignment="1">
      <alignment horizontal="center" wrapText="1" readingOrder="1"/>
    </xf>
    <xf numFmtId="0" fontId="5" fillId="3" borderId="13" xfId="0" applyFont="1" applyFill="1" applyBorder="1" applyAlignment="1">
      <alignment horizontal="center" wrapText="1" readingOrder="1"/>
    </xf>
    <xf numFmtId="0" fontId="5" fillId="3" borderId="14" xfId="0" applyFont="1" applyFill="1" applyBorder="1" applyAlignment="1">
      <alignment horizontal="center" wrapText="1" readingOrder="1"/>
    </xf>
    <xf numFmtId="0" fontId="5" fillId="3" borderId="15" xfId="0" applyFont="1" applyFill="1" applyBorder="1" applyAlignment="1">
      <alignment horizontal="center" wrapText="1" readingOrder="1"/>
    </xf>
    <xf numFmtId="0" fontId="6" fillId="4" borderId="11" xfId="0" applyFont="1" applyFill="1" applyBorder="1" applyAlignment="1">
      <alignment horizontal="left" wrapText="1" readingOrder="1"/>
    </xf>
    <xf numFmtId="3" fontId="6" fillId="4" borderId="12" xfId="0" applyNumberFormat="1" applyFont="1" applyFill="1" applyBorder="1" applyAlignment="1">
      <alignment horizontal="center" wrapText="1" readingOrder="1"/>
    </xf>
    <xf numFmtId="3" fontId="6" fillId="4" borderId="14" xfId="0" applyNumberFormat="1" applyFont="1" applyFill="1" applyBorder="1" applyAlignment="1">
      <alignment horizontal="center" wrapText="1" readingOrder="1"/>
    </xf>
    <xf numFmtId="0" fontId="6" fillId="5" borderId="11" xfId="0" applyFont="1" applyFill="1" applyBorder="1" applyAlignment="1">
      <alignment horizontal="left" wrapText="1" readingOrder="1"/>
    </xf>
    <xf numFmtId="3" fontId="6" fillId="5" borderId="12" xfId="0" applyNumberFormat="1" applyFont="1" applyFill="1" applyBorder="1" applyAlignment="1">
      <alignment horizontal="center" wrapText="1" readingOrder="1"/>
    </xf>
    <xf numFmtId="0" fontId="6" fillId="5" borderId="12" xfId="0" applyFont="1" applyFill="1" applyBorder="1" applyAlignment="1">
      <alignment horizontal="center" wrapText="1" readingOrder="1"/>
    </xf>
    <xf numFmtId="0" fontId="6" fillId="6" borderId="11" xfId="0" applyFont="1" applyFill="1" applyBorder="1" applyAlignment="1">
      <alignment horizontal="left" wrapText="1" readingOrder="1"/>
    </xf>
    <xf numFmtId="3" fontId="6" fillId="6" borderId="12" xfId="0" applyNumberFormat="1" applyFont="1" applyFill="1" applyBorder="1" applyAlignment="1">
      <alignment horizontal="center" wrapText="1" readingOrder="1"/>
    </xf>
    <xf numFmtId="0" fontId="6" fillId="6" borderId="12" xfId="0" applyFont="1" applyFill="1" applyBorder="1" applyAlignment="1">
      <alignment horizontal="center" wrapText="1" readingOrder="1"/>
    </xf>
    <xf numFmtId="0" fontId="6" fillId="6" borderId="15" xfId="0" applyFont="1" applyFill="1" applyBorder="1" applyAlignment="1">
      <alignment horizontal="center" wrapText="1" readingOrder="1"/>
    </xf>
    <xf numFmtId="0" fontId="7" fillId="6" borderId="11" xfId="0" applyFont="1" applyFill="1" applyBorder="1" applyAlignment="1">
      <alignment horizontal="right" wrapText="1" readingOrder="1"/>
    </xf>
    <xf numFmtId="3" fontId="7" fillId="6" borderId="12" xfId="0" applyNumberFormat="1" applyFont="1" applyFill="1" applyBorder="1" applyAlignment="1">
      <alignment horizontal="center" wrapText="1" readingOrder="1"/>
    </xf>
    <xf numFmtId="0" fontId="3" fillId="0" borderId="16" xfId="0" applyFont="1" applyBorder="1" applyAlignment="1">
      <alignment wrapText="1"/>
    </xf>
    <xf numFmtId="0" fontId="3" fillId="0" borderId="17" xfId="0" applyFont="1" applyBorder="1" applyAlignment="1">
      <alignment wrapText="1"/>
    </xf>
    <xf numFmtId="0" fontId="3" fillId="0" borderId="18" xfId="0" applyFont="1" applyBorder="1" applyAlignment="1">
      <alignment wrapText="1"/>
    </xf>
    <xf numFmtId="0" fontId="3" fillId="0" borderId="19" xfId="0" applyFont="1" applyBorder="1" applyAlignment="1">
      <alignment wrapText="1"/>
    </xf>
    <xf numFmtId="0" fontId="3" fillId="0" borderId="20" xfId="0" applyFont="1" applyBorder="1" applyAlignment="1">
      <alignment wrapText="1"/>
    </xf>
    <xf numFmtId="0" fontId="6" fillId="7" borderId="21" xfId="0" applyFont="1" applyFill="1" applyBorder="1" applyAlignment="1">
      <alignment horizontal="left" wrapText="1" readingOrder="1"/>
    </xf>
    <xf numFmtId="3" fontId="6" fillId="7" borderId="22" xfId="0" applyNumberFormat="1" applyFont="1" applyFill="1" applyBorder="1" applyAlignment="1">
      <alignment horizontal="center" wrapText="1" readingOrder="1"/>
    </xf>
    <xf numFmtId="0" fontId="6" fillId="0" borderId="23" xfId="0" applyFont="1" applyBorder="1" applyAlignment="1">
      <alignment horizontal="center" wrapText="1" readingOrder="1"/>
    </xf>
    <xf numFmtId="0" fontId="6" fillId="0" borderId="24" xfId="0" applyFont="1" applyBorder="1" applyAlignment="1">
      <alignment horizontal="center" wrapText="1" readingOrder="1"/>
    </xf>
    <xf numFmtId="3" fontId="6" fillId="7" borderId="25" xfId="0" applyNumberFormat="1" applyFont="1" applyFill="1" applyBorder="1" applyAlignment="1">
      <alignment horizontal="center" wrapText="1" readingOrder="1"/>
    </xf>
    <xf numFmtId="0" fontId="8" fillId="0" borderId="18" xfId="0" applyFont="1" applyBorder="1" applyAlignment="1">
      <alignment wrapText="1"/>
    </xf>
    <xf numFmtId="1" fontId="6" fillId="5" borderId="12" xfId="0" applyNumberFormat="1" applyFont="1" applyFill="1" applyBorder="1" applyAlignment="1">
      <alignment horizontal="center" wrapText="1" readingOrder="1"/>
    </xf>
    <xf numFmtId="3" fontId="0" fillId="0" borderId="0" xfId="0" applyNumberFormat="1"/>
    <xf numFmtId="1" fontId="9" fillId="0" borderId="0" xfId="0" applyNumberFormat="1" applyFont="1"/>
    <xf numFmtId="0" fontId="9" fillId="0" borderId="0" xfId="0" applyFont="1"/>
    <xf numFmtId="4" fontId="1" fillId="0" borderId="0" xfId="0" applyNumberFormat="1" applyFont="1"/>
    <xf numFmtId="3" fontId="6" fillId="0" borderId="14" xfId="0" applyNumberFormat="1" applyFont="1" applyBorder="1" applyAlignment="1">
      <alignment horizontal="center" wrapText="1" readingOrder="1"/>
    </xf>
    <xf numFmtId="2" fontId="0" fillId="0" borderId="0" xfId="0" applyNumberFormat="1"/>
    <xf numFmtId="165" fontId="0" fillId="0" borderId="0" xfId="0" applyNumberFormat="1"/>
    <xf numFmtId="0" fontId="0" fillId="0" borderId="0" xfId="0" applyAlignment="1">
      <alignment horizontal="center"/>
    </xf>
    <xf numFmtId="0" fontId="14" fillId="3" borderId="0" xfId="0" applyFont="1" applyFill="1" applyAlignment="1">
      <alignment horizontal="center"/>
    </xf>
    <xf numFmtId="0" fontId="10" fillId="0" borderId="0" xfId="1"/>
    <xf numFmtId="0" fontId="11" fillId="0" borderId="47" xfId="1" applyFont="1" applyBorder="1" applyAlignment="1">
      <alignment horizontal="center" wrapText="1"/>
    </xf>
    <xf numFmtId="0" fontId="11" fillId="0" borderId="50" xfId="1" applyFont="1" applyBorder="1" applyAlignment="1">
      <alignment horizontal="center" wrapText="1"/>
    </xf>
    <xf numFmtId="0" fontId="11" fillId="0" borderId="48" xfId="1" applyFont="1" applyBorder="1" applyAlignment="1">
      <alignment horizontal="center" wrapText="1"/>
    </xf>
    <xf numFmtId="0" fontId="11" fillId="0" borderId="44" xfId="1" applyFont="1" applyBorder="1" applyAlignment="1">
      <alignment horizontal="center" wrapText="1"/>
    </xf>
    <xf numFmtId="0" fontId="11" fillId="0" borderId="45" xfId="1" applyFont="1" applyBorder="1" applyAlignment="1">
      <alignment horizontal="center" wrapText="1"/>
    </xf>
    <xf numFmtId="0" fontId="11" fillId="0" borderId="46" xfId="1" applyFont="1" applyBorder="1" applyAlignment="1">
      <alignment horizontal="center" wrapText="1"/>
    </xf>
    <xf numFmtId="0" fontId="11" fillId="0" borderId="27" xfId="1" applyFont="1" applyBorder="1" applyAlignment="1">
      <alignment horizontal="left" vertical="top" wrapText="1"/>
    </xf>
    <xf numFmtId="165" fontId="11" fillId="0" borderId="28" xfId="1" applyNumberFormat="1" applyFont="1" applyBorder="1" applyAlignment="1">
      <alignment horizontal="right" vertical="top"/>
    </xf>
    <xf numFmtId="165" fontId="11" fillId="0" borderId="29" xfId="1" applyNumberFormat="1" applyFont="1" applyBorder="1" applyAlignment="1">
      <alignment horizontal="right" vertical="top"/>
    </xf>
    <xf numFmtId="165" fontId="11" fillId="0" borderId="30" xfId="1" applyNumberFormat="1" applyFont="1" applyBorder="1" applyAlignment="1">
      <alignment horizontal="right" vertical="top"/>
    </xf>
    <xf numFmtId="0" fontId="11" fillId="0" borderId="32" xfId="1" applyFont="1" applyBorder="1" applyAlignment="1">
      <alignment horizontal="left" vertical="top" wrapText="1"/>
    </xf>
    <xf numFmtId="165" fontId="11" fillId="0" borderId="33" xfId="1" applyNumberFormat="1" applyFont="1" applyBorder="1" applyAlignment="1">
      <alignment horizontal="right" vertical="top"/>
    </xf>
    <xf numFmtId="165" fontId="11" fillId="0" borderId="34" xfId="1" applyNumberFormat="1" applyFont="1" applyBorder="1" applyAlignment="1">
      <alignment horizontal="right" vertical="top"/>
    </xf>
    <xf numFmtId="165" fontId="11" fillId="0" borderId="35" xfId="1" applyNumberFormat="1" applyFont="1" applyBorder="1" applyAlignment="1">
      <alignment horizontal="right" vertical="top"/>
    </xf>
    <xf numFmtId="0" fontId="11" fillId="0" borderId="37" xfId="1" applyFont="1" applyBorder="1" applyAlignment="1">
      <alignment horizontal="left" vertical="top" wrapText="1"/>
    </xf>
    <xf numFmtId="165" fontId="11" fillId="0" borderId="38" xfId="1" applyNumberFormat="1" applyFont="1" applyBorder="1" applyAlignment="1">
      <alignment horizontal="right" vertical="top"/>
    </xf>
    <xf numFmtId="165" fontId="11" fillId="0" borderId="39" xfId="1" applyNumberFormat="1" applyFont="1" applyBorder="1" applyAlignment="1">
      <alignment horizontal="right" vertical="top"/>
    </xf>
    <xf numFmtId="165" fontId="11" fillId="0" borderId="40" xfId="1" applyNumberFormat="1" applyFont="1" applyBorder="1" applyAlignment="1">
      <alignment horizontal="right" vertical="top"/>
    </xf>
    <xf numFmtId="0" fontId="11" fillId="0" borderId="0" xfId="1" applyFont="1" applyAlignment="1">
      <alignment horizontal="left" vertical="top" wrapText="1"/>
    </xf>
    <xf numFmtId="165" fontId="10" fillId="0" borderId="0" xfId="1" applyNumberFormat="1"/>
    <xf numFmtId="0" fontId="10" fillId="0" borderId="0" xfId="2"/>
    <xf numFmtId="0" fontId="11" fillId="0" borderId="50" xfId="2" applyFont="1" applyBorder="1" applyAlignment="1">
      <alignment horizontal="center" wrapText="1"/>
    </xf>
    <xf numFmtId="0" fontId="11" fillId="0" borderId="48" xfId="2" applyFont="1" applyBorder="1" applyAlignment="1">
      <alignment horizontal="center" wrapText="1"/>
    </xf>
    <xf numFmtId="0" fontId="11" fillId="0" borderId="45" xfId="2" applyFont="1" applyBorder="1" applyAlignment="1">
      <alignment horizontal="center" wrapText="1"/>
    </xf>
    <xf numFmtId="0" fontId="11" fillId="0" borderId="46" xfId="2" applyFont="1" applyBorder="1" applyAlignment="1">
      <alignment horizontal="center" wrapText="1"/>
    </xf>
    <xf numFmtId="0" fontId="11" fillId="0" borderId="27" xfId="2" applyFont="1" applyBorder="1" applyAlignment="1">
      <alignment horizontal="left" vertical="top" wrapText="1"/>
    </xf>
    <xf numFmtId="165" fontId="11" fillId="0" borderId="29" xfId="2" applyNumberFormat="1" applyFont="1" applyBorder="1" applyAlignment="1">
      <alignment horizontal="right" vertical="top"/>
    </xf>
    <xf numFmtId="165" fontId="11" fillId="0" borderId="30" xfId="2" applyNumberFormat="1" applyFont="1" applyBorder="1" applyAlignment="1">
      <alignment horizontal="right" vertical="top"/>
    </xf>
    <xf numFmtId="0" fontId="11" fillId="0" borderId="32" xfId="2" applyFont="1" applyBorder="1" applyAlignment="1">
      <alignment horizontal="left" vertical="top" wrapText="1"/>
    </xf>
    <xf numFmtId="165" fontId="11" fillId="0" borderId="34" xfId="2" applyNumberFormat="1" applyFont="1" applyBorder="1" applyAlignment="1">
      <alignment horizontal="right" vertical="top"/>
    </xf>
    <xf numFmtId="165" fontId="11" fillId="0" borderId="35" xfId="2" applyNumberFormat="1" applyFont="1" applyBorder="1" applyAlignment="1">
      <alignment horizontal="right" vertical="top"/>
    </xf>
    <xf numFmtId="0" fontId="11" fillId="0" borderId="37" xfId="2" applyFont="1" applyBorder="1" applyAlignment="1">
      <alignment horizontal="left" vertical="top" wrapText="1"/>
    </xf>
    <xf numFmtId="165" fontId="11" fillId="0" borderId="39" xfId="2" applyNumberFormat="1" applyFont="1" applyBorder="1" applyAlignment="1">
      <alignment horizontal="right" vertical="top"/>
    </xf>
    <xf numFmtId="165" fontId="11" fillId="0" borderId="40" xfId="2" applyNumberFormat="1" applyFont="1" applyBorder="1" applyAlignment="1">
      <alignment horizontal="right" vertical="top"/>
    </xf>
    <xf numFmtId="0" fontId="0" fillId="0" borderId="58" xfId="0" applyBorder="1"/>
    <xf numFmtId="0" fontId="12" fillId="0" borderId="0" xfId="0" applyFont="1"/>
    <xf numFmtId="0" fontId="13" fillId="0" borderId="11" xfId="0" applyFont="1" applyBorder="1" applyAlignment="1">
      <alignment horizontal="left" wrapText="1" readingOrder="1"/>
    </xf>
    <xf numFmtId="0" fontId="13" fillId="0" borderId="11" xfId="0" applyFont="1" applyBorder="1" applyAlignment="1">
      <alignment horizontal="right" wrapText="1" readingOrder="1"/>
    </xf>
    <xf numFmtId="0" fontId="13" fillId="0" borderId="21" xfId="0" applyFont="1" applyBorder="1" applyAlignment="1">
      <alignment horizontal="left" wrapText="1" readingOrder="1"/>
    </xf>
    <xf numFmtId="0" fontId="13" fillId="0" borderId="9" xfId="0" applyFont="1" applyBorder="1" applyAlignment="1">
      <alignment wrapText="1"/>
    </xf>
    <xf numFmtId="0" fontId="13" fillId="0" borderId="10" xfId="0" applyFont="1" applyBorder="1" applyAlignment="1">
      <alignment horizontal="center" wrapText="1" readingOrder="1"/>
    </xf>
    <xf numFmtId="0" fontId="13" fillId="0" borderId="11" xfId="0" applyFont="1" applyBorder="1" applyAlignment="1">
      <alignment horizontal="center" wrapText="1" readingOrder="1"/>
    </xf>
    <xf numFmtId="0" fontId="13" fillId="0" borderId="12" xfId="0" applyFont="1" applyBorder="1" applyAlignment="1">
      <alignment horizontal="center" wrapText="1" readingOrder="1"/>
    </xf>
    <xf numFmtId="0" fontId="13" fillId="0" borderId="13" xfId="0" applyFont="1" applyBorder="1" applyAlignment="1">
      <alignment horizontal="center" wrapText="1" readingOrder="1"/>
    </xf>
    <xf numFmtId="0" fontId="13" fillId="0" borderId="14" xfId="0" applyFont="1" applyBorder="1" applyAlignment="1">
      <alignment horizontal="center" wrapText="1" readingOrder="1"/>
    </xf>
    <xf numFmtId="0" fontId="13" fillId="0" borderId="15" xfId="0" applyFont="1" applyBorder="1" applyAlignment="1">
      <alignment horizontal="center" wrapText="1" readingOrder="1"/>
    </xf>
    <xf numFmtId="0" fontId="13" fillId="0" borderId="16" xfId="0" applyFont="1" applyBorder="1" applyAlignment="1">
      <alignment wrapText="1"/>
    </xf>
    <xf numFmtId="0" fontId="15" fillId="0" borderId="0" xfId="0" applyFont="1" applyAlignment="1">
      <alignment wrapText="1"/>
    </xf>
    <xf numFmtId="0" fontId="15" fillId="0" borderId="67" xfId="0" applyFont="1" applyBorder="1" applyAlignment="1">
      <alignment wrapText="1"/>
    </xf>
    <xf numFmtId="0" fontId="15" fillId="8" borderId="14" xfId="0" applyFont="1" applyFill="1" applyBorder="1" applyAlignment="1">
      <alignment horizontal="center" wrapText="1" readingOrder="1"/>
    </xf>
    <xf numFmtId="0" fontId="15" fillId="8" borderId="10" xfId="0" applyFont="1" applyFill="1" applyBorder="1" applyAlignment="1">
      <alignment horizontal="center" wrapText="1" readingOrder="1"/>
    </xf>
    <xf numFmtId="0" fontId="15" fillId="8" borderId="11" xfId="0" applyFont="1" applyFill="1" applyBorder="1" applyAlignment="1">
      <alignment horizontal="center" wrapText="1" readingOrder="1"/>
    </xf>
    <xf numFmtId="0" fontId="15" fillId="8" borderId="15" xfId="0" applyFont="1" applyFill="1" applyBorder="1" applyAlignment="1">
      <alignment horizontal="center" wrapText="1" readingOrder="1"/>
    </xf>
    <xf numFmtId="3" fontId="15" fillId="8" borderId="14" xfId="0" applyNumberFormat="1" applyFont="1" applyFill="1" applyBorder="1" applyAlignment="1">
      <alignment horizontal="center" wrapText="1" readingOrder="1"/>
    </xf>
    <xf numFmtId="0" fontId="13" fillId="0" borderId="68" xfId="0" applyFont="1" applyBorder="1" applyAlignment="1">
      <alignment horizontal="left" wrapText="1" readingOrder="1"/>
    </xf>
    <xf numFmtId="0" fontId="13" fillId="0" borderId="68" xfId="0" applyFont="1" applyBorder="1" applyAlignment="1">
      <alignment horizontal="right" wrapText="1" readingOrder="1"/>
    </xf>
    <xf numFmtId="166" fontId="15" fillId="0" borderId="12" xfId="0" applyNumberFormat="1" applyFont="1" applyBorder="1" applyAlignment="1">
      <alignment horizontal="center" wrapText="1" readingOrder="1"/>
    </xf>
    <xf numFmtId="0" fontId="0" fillId="9" borderId="0" xfId="0" applyFill="1"/>
    <xf numFmtId="0" fontId="18" fillId="9" borderId="1" xfId="0" applyFont="1" applyFill="1" applyBorder="1" applyAlignment="1">
      <alignment wrapText="1"/>
    </xf>
    <xf numFmtId="1" fontId="0" fillId="9" borderId="0" xfId="0" applyNumberFormat="1" applyFill="1"/>
    <xf numFmtId="0" fontId="18" fillId="9" borderId="16" xfId="0" applyFont="1" applyFill="1" applyBorder="1" applyAlignment="1">
      <alignment wrapText="1"/>
    </xf>
    <xf numFmtId="0" fontId="18" fillId="9" borderId="18" xfId="0" applyFont="1" applyFill="1" applyBorder="1" applyAlignment="1">
      <alignment wrapText="1"/>
    </xf>
    <xf numFmtId="0" fontId="18" fillId="9" borderId="20" xfId="0" applyFont="1" applyFill="1" applyBorder="1" applyAlignment="1">
      <alignment wrapText="1"/>
    </xf>
    <xf numFmtId="3" fontId="0" fillId="9" borderId="0" xfId="0" applyNumberFormat="1" applyFill="1"/>
    <xf numFmtId="0" fontId="18" fillId="9" borderId="67" xfId="0" applyFont="1" applyFill="1" applyBorder="1" applyAlignment="1">
      <alignment wrapText="1"/>
    </xf>
    <xf numFmtId="0" fontId="19" fillId="10" borderId="68" xfId="0" applyFont="1" applyFill="1" applyBorder="1" applyAlignment="1">
      <alignment horizontal="left" wrapText="1" readingOrder="1"/>
    </xf>
    <xf numFmtId="3" fontId="19" fillId="10" borderId="69" xfId="0" applyNumberFormat="1" applyFont="1" applyFill="1" applyBorder="1" applyAlignment="1">
      <alignment horizontal="center" wrapText="1" readingOrder="1"/>
    </xf>
    <xf numFmtId="0" fontId="19" fillId="11" borderId="68" xfId="0" applyFont="1" applyFill="1" applyBorder="1" applyAlignment="1">
      <alignment horizontal="left" wrapText="1" readingOrder="1"/>
    </xf>
    <xf numFmtId="3" fontId="19" fillId="11" borderId="69" xfId="0" applyNumberFormat="1" applyFont="1" applyFill="1" applyBorder="1" applyAlignment="1">
      <alignment horizontal="center" wrapText="1" readingOrder="1"/>
    </xf>
    <xf numFmtId="3" fontId="19" fillId="11" borderId="14" xfId="0" applyNumberFormat="1" applyFont="1" applyFill="1" applyBorder="1" applyAlignment="1">
      <alignment horizontal="center" wrapText="1" readingOrder="1"/>
    </xf>
    <xf numFmtId="0" fontId="19" fillId="12" borderId="68" xfId="0" applyFont="1" applyFill="1" applyBorder="1" applyAlignment="1">
      <alignment horizontal="left" wrapText="1" readingOrder="1"/>
    </xf>
    <xf numFmtId="3" fontId="19" fillId="12" borderId="69" xfId="0" applyNumberFormat="1" applyFont="1" applyFill="1" applyBorder="1" applyAlignment="1">
      <alignment horizontal="center" wrapText="1" readingOrder="1"/>
    </xf>
    <xf numFmtId="3" fontId="19" fillId="12" borderId="12" xfId="0" applyNumberFormat="1" applyFont="1" applyFill="1" applyBorder="1" applyAlignment="1">
      <alignment horizontal="center" wrapText="1" readingOrder="1"/>
    </xf>
    <xf numFmtId="0" fontId="19" fillId="12" borderId="69" xfId="0" applyFont="1" applyFill="1" applyBorder="1" applyAlignment="1">
      <alignment horizontal="center" wrapText="1" readingOrder="1"/>
    </xf>
    <xf numFmtId="0" fontId="19" fillId="12" borderId="12" xfId="0" applyFont="1" applyFill="1" applyBorder="1" applyAlignment="1">
      <alignment horizontal="center" wrapText="1" readingOrder="1"/>
    </xf>
    <xf numFmtId="0" fontId="19" fillId="10" borderId="69" xfId="0" applyFont="1" applyFill="1" applyBorder="1" applyAlignment="1">
      <alignment horizontal="center" wrapText="1" readingOrder="1"/>
    </xf>
    <xf numFmtId="0" fontId="19" fillId="10" borderId="15" xfId="0" applyFont="1" applyFill="1" applyBorder="1" applyAlignment="1">
      <alignment horizontal="center" wrapText="1" readingOrder="1"/>
    </xf>
    <xf numFmtId="0" fontId="19" fillId="10" borderId="68" xfId="0" applyFont="1" applyFill="1" applyBorder="1" applyAlignment="1">
      <alignment horizontal="right" wrapText="1" readingOrder="1"/>
    </xf>
    <xf numFmtId="3" fontId="19" fillId="10" borderId="12" xfId="0" applyNumberFormat="1" applyFont="1" applyFill="1" applyBorder="1" applyAlignment="1">
      <alignment horizontal="center" wrapText="1" readingOrder="1"/>
    </xf>
    <xf numFmtId="0" fontId="19" fillId="12" borderId="21" xfId="0" applyFont="1" applyFill="1" applyBorder="1" applyAlignment="1">
      <alignment horizontal="left" wrapText="1" readingOrder="1"/>
    </xf>
    <xf numFmtId="0" fontId="19" fillId="12" borderId="84" xfId="0" applyFont="1" applyFill="1" applyBorder="1" applyAlignment="1">
      <alignment horizontal="center" wrapText="1" readingOrder="1"/>
    </xf>
    <xf numFmtId="0" fontId="19" fillId="12" borderId="24" xfId="0" applyFont="1" applyFill="1" applyBorder="1" applyAlignment="1">
      <alignment horizontal="center" wrapText="1" readingOrder="1"/>
    </xf>
    <xf numFmtId="165" fontId="11" fillId="0" borderId="0" xfId="1" applyNumberFormat="1" applyFont="1" applyAlignment="1">
      <alignment horizontal="right" vertical="top"/>
    </xf>
    <xf numFmtId="0" fontId="11" fillId="0" borderId="0" xfId="1" applyFont="1" applyAlignment="1">
      <alignment wrapText="1"/>
    </xf>
    <xf numFmtId="0" fontId="11" fillId="0" borderId="0" xfId="1" applyFont="1" applyAlignment="1">
      <alignment vertical="top" wrapText="1"/>
    </xf>
    <xf numFmtId="165" fontId="16" fillId="0" borderId="0" xfId="1" applyNumberFormat="1" applyFont="1"/>
    <xf numFmtId="0" fontId="0" fillId="0" borderId="59" xfId="0" applyBorder="1" applyAlignment="1">
      <alignment horizontal="center"/>
    </xf>
    <xf numFmtId="0" fontId="0" fillId="0" borderId="60" xfId="0" applyBorder="1" applyAlignment="1">
      <alignment horizontal="center"/>
    </xf>
    <xf numFmtId="165" fontId="0" fillId="10" borderId="0" xfId="0" applyNumberFormat="1" applyFill="1"/>
    <xf numFmtId="0" fontId="0" fillId="0" borderId="88" xfId="0" applyBorder="1"/>
    <xf numFmtId="0" fontId="0" fillId="0" borderId="89" xfId="0" applyBorder="1"/>
    <xf numFmtId="0" fontId="0" fillId="0" borderId="90" xfId="0" applyBorder="1"/>
    <xf numFmtId="0" fontId="0" fillId="0" borderId="91" xfId="0" applyBorder="1"/>
    <xf numFmtId="0" fontId="0" fillId="0" borderId="92" xfId="0" applyBorder="1"/>
    <xf numFmtId="0" fontId="0" fillId="0" borderId="93" xfId="0" applyBorder="1"/>
    <xf numFmtId="0" fontId="0" fillId="0" borderId="94" xfId="0" applyBorder="1"/>
    <xf numFmtId="0" fontId="0" fillId="0" borderId="97" xfId="0" applyBorder="1"/>
    <xf numFmtId="165" fontId="0" fillId="0" borderId="98" xfId="0" applyNumberFormat="1" applyBorder="1"/>
    <xf numFmtId="165" fontId="0" fillId="0" borderId="99" xfId="0" applyNumberFormat="1" applyBorder="1"/>
    <xf numFmtId="0" fontId="0" fillId="0" borderId="100" xfId="0" applyBorder="1"/>
    <xf numFmtId="0" fontId="0" fillId="8" borderId="64" xfId="0" applyFill="1" applyBorder="1"/>
    <xf numFmtId="165" fontId="0" fillId="8" borderId="65" xfId="0" applyNumberFormat="1" applyFill="1" applyBorder="1"/>
    <xf numFmtId="165" fontId="0" fillId="8" borderId="66" xfId="0" applyNumberFormat="1" applyFill="1" applyBorder="1"/>
    <xf numFmtId="0" fontId="20" fillId="0" borderId="0" xfId="0" applyFont="1" applyAlignment="1">
      <alignment horizontal="center"/>
    </xf>
    <xf numFmtId="0" fontId="15" fillId="12" borderId="69" xfId="0" applyFont="1" applyFill="1" applyBorder="1" applyAlignment="1">
      <alignment horizontal="center" wrapText="1" readingOrder="1"/>
    </xf>
    <xf numFmtId="0" fontId="15" fillId="12" borderId="10" xfId="0" applyFont="1" applyFill="1" applyBorder="1" applyAlignment="1">
      <alignment horizontal="center" wrapText="1" readingOrder="1"/>
    </xf>
    <xf numFmtId="0" fontId="15" fillId="12" borderId="11" xfId="0" applyFont="1" applyFill="1" applyBorder="1" applyAlignment="1">
      <alignment horizontal="center" wrapText="1" readingOrder="1"/>
    </xf>
    <xf numFmtId="0" fontId="15" fillId="12" borderId="13" xfId="0" applyFont="1" applyFill="1" applyBorder="1" applyAlignment="1">
      <alignment horizontal="center" wrapText="1" readingOrder="1"/>
    </xf>
    <xf numFmtId="3" fontId="15" fillId="12" borderId="14" xfId="0" applyNumberFormat="1" applyFont="1" applyFill="1" applyBorder="1" applyAlignment="1">
      <alignment horizontal="center" wrapText="1" readingOrder="1"/>
    </xf>
    <xf numFmtId="0" fontId="15" fillId="2" borderId="14" xfId="0" applyFont="1" applyFill="1" applyBorder="1" applyAlignment="1">
      <alignment horizontal="center" wrapText="1" readingOrder="1"/>
    </xf>
    <xf numFmtId="0" fontId="15" fillId="2" borderId="10" xfId="0" applyFont="1" applyFill="1" applyBorder="1" applyAlignment="1">
      <alignment horizontal="center" wrapText="1" readingOrder="1"/>
    </xf>
    <xf numFmtId="0" fontId="15" fillId="2" borderId="11" xfId="0" applyFont="1" applyFill="1" applyBorder="1" applyAlignment="1">
      <alignment horizontal="center" wrapText="1" readingOrder="1"/>
    </xf>
    <xf numFmtId="0" fontId="15" fillId="2" borderId="12" xfId="0" applyFont="1" applyFill="1" applyBorder="1" applyAlignment="1">
      <alignment horizontal="center" wrapText="1" readingOrder="1"/>
    </xf>
    <xf numFmtId="3" fontId="15" fillId="2" borderId="14" xfId="0" applyNumberFormat="1" applyFont="1" applyFill="1" applyBorder="1" applyAlignment="1">
      <alignment horizontal="center" wrapText="1" readingOrder="1"/>
    </xf>
    <xf numFmtId="0" fontId="15" fillId="13" borderId="6" xfId="0" applyFont="1" applyFill="1" applyBorder="1" applyAlignment="1">
      <alignment horizontal="center" wrapText="1" readingOrder="1"/>
    </xf>
    <xf numFmtId="0" fontId="15" fillId="13" borderId="8" xfId="0" applyFont="1" applyFill="1" applyBorder="1" applyAlignment="1">
      <alignment horizontal="center" wrapText="1" readingOrder="1"/>
    </xf>
    <xf numFmtId="0" fontId="15" fillId="13" borderId="12" xfId="0" applyFont="1" applyFill="1" applyBorder="1" applyAlignment="1">
      <alignment horizontal="center" wrapText="1" readingOrder="1"/>
    </xf>
    <xf numFmtId="0" fontId="15" fillId="13" borderId="15" xfId="0" applyFont="1" applyFill="1" applyBorder="1" applyAlignment="1">
      <alignment horizontal="center" wrapText="1" readingOrder="1"/>
    </xf>
    <xf numFmtId="3" fontId="15" fillId="13" borderId="14" xfId="0" applyNumberFormat="1" applyFont="1" applyFill="1" applyBorder="1" applyAlignment="1">
      <alignment horizontal="center" wrapText="1" readingOrder="1"/>
    </xf>
    <xf numFmtId="166" fontId="15" fillId="5" borderId="12" xfId="0" applyNumberFormat="1" applyFont="1" applyFill="1" applyBorder="1" applyAlignment="1">
      <alignment horizontal="center" wrapText="1" readingOrder="1"/>
    </xf>
    <xf numFmtId="0" fontId="20" fillId="0" borderId="0" xfId="0" applyFont="1"/>
    <xf numFmtId="167" fontId="0" fillId="9" borderId="0" xfId="0" applyNumberFormat="1" applyFill="1"/>
    <xf numFmtId="0" fontId="21" fillId="0" borderId="0" xfId="0" applyFont="1"/>
    <xf numFmtId="168" fontId="11" fillId="0" borderId="34" xfId="1" applyNumberFormat="1" applyFont="1" applyBorder="1" applyAlignment="1">
      <alignment horizontal="right" vertical="top"/>
    </xf>
    <xf numFmtId="168" fontId="11" fillId="0" borderId="39" xfId="1" applyNumberFormat="1" applyFont="1" applyBorder="1" applyAlignment="1">
      <alignment horizontal="right" vertical="top"/>
    </xf>
    <xf numFmtId="168" fontId="11" fillId="0" borderId="33" xfId="1" applyNumberFormat="1" applyFont="1" applyBorder="1" applyAlignment="1">
      <alignment horizontal="right" vertical="top"/>
    </xf>
    <xf numFmtId="168" fontId="11" fillId="0" borderId="38" xfId="1" applyNumberFormat="1" applyFont="1" applyBorder="1" applyAlignment="1">
      <alignment horizontal="right" vertical="top"/>
    </xf>
    <xf numFmtId="169" fontId="0" fillId="0" borderId="0" xfId="0" applyNumberFormat="1"/>
    <xf numFmtId="0" fontId="11" fillId="0" borderId="0" xfId="2" applyFont="1" applyAlignment="1">
      <alignment horizontal="left" vertical="top" wrapText="1"/>
    </xf>
    <xf numFmtId="0" fontId="11" fillId="11" borderId="47" xfId="2" applyFont="1" applyFill="1" applyBorder="1" applyAlignment="1">
      <alignment horizontal="center" wrapText="1"/>
    </xf>
    <xf numFmtId="0" fontId="11" fillId="11" borderId="50" xfId="2" applyFont="1" applyFill="1" applyBorder="1" applyAlignment="1">
      <alignment horizontal="center" wrapText="1"/>
    </xf>
    <xf numFmtId="0" fontId="11" fillId="11" borderId="44" xfId="2" applyFont="1" applyFill="1" applyBorder="1" applyAlignment="1">
      <alignment horizontal="center" wrapText="1"/>
    </xf>
    <xf numFmtId="0" fontId="11" fillId="11" borderId="45" xfId="2" applyFont="1" applyFill="1" applyBorder="1" applyAlignment="1">
      <alignment horizontal="center" wrapText="1"/>
    </xf>
    <xf numFmtId="165" fontId="11" fillId="11" borderId="28" xfId="2" applyNumberFormat="1" applyFont="1" applyFill="1" applyBorder="1" applyAlignment="1">
      <alignment horizontal="right" vertical="top"/>
    </xf>
    <xf numFmtId="165" fontId="11" fillId="11" borderId="29" xfId="2" applyNumberFormat="1" applyFont="1" applyFill="1" applyBorder="1" applyAlignment="1">
      <alignment horizontal="right" vertical="top"/>
    </xf>
    <xf numFmtId="165" fontId="11" fillId="11" borderId="33" xfId="2" applyNumberFormat="1" applyFont="1" applyFill="1" applyBorder="1" applyAlignment="1">
      <alignment horizontal="right" vertical="top"/>
    </xf>
    <xf numFmtId="165" fontId="11" fillId="11" borderId="34" xfId="2" applyNumberFormat="1" applyFont="1" applyFill="1" applyBorder="1" applyAlignment="1">
      <alignment horizontal="right" vertical="top"/>
    </xf>
    <xf numFmtId="165" fontId="11" fillId="11" borderId="38" xfId="2" applyNumberFormat="1" applyFont="1" applyFill="1" applyBorder="1" applyAlignment="1">
      <alignment horizontal="right" vertical="top"/>
    </xf>
    <xf numFmtId="165" fontId="11" fillId="11" borderId="39" xfId="2" applyNumberFormat="1" applyFont="1" applyFill="1" applyBorder="1" applyAlignment="1">
      <alignment horizontal="right" vertical="top"/>
    </xf>
    <xf numFmtId="165" fontId="22" fillId="0" borderId="0" xfId="0" applyNumberFormat="1" applyFont="1"/>
    <xf numFmtId="165" fontId="23" fillId="0" borderId="0" xfId="0" applyNumberFormat="1" applyFont="1"/>
    <xf numFmtId="165" fontId="24" fillId="0" borderId="0" xfId="0" applyNumberFormat="1" applyFont="1"/>
    <xf numFmtId="0" fontId="0" fillId="0" borderId="101" xfId="0" applyBorder="1" applyAlignment="1">
      <alignment horizontal="center"/>
    </xf>
    <xf numFmtId="0" fontId="0" fillId="0" borderId="102" xfId="0" applyBorder="1" applyAlignment="1">
      <alignment horizontal="center"/>
    </xf>
    <xf numFmtId="0" fontId="0" fillId="12" borderId="94" xfId="0" applyFill="1" applyBorder="1"/>
    <xf numFmtId="165" fontId="0" fillId="12" borderId="95" xfId="0" applyNumberFormat="1" applyFill="1" applyBorder="1" applyAlignment="1">
      <alignment horizontal="center"/>
    </xf>
    <xf numFmtId="165" fontId="0" fillId="12" borderId="96" xfId="0" applyNumberFormat="1" applyFill="1" applyBorder="1" applyAlignment="1">
      <alignment horizontal="center"/>
    </xf>
    <xf numFmtId="0" fontId="0" fillId="11" borderId="88" xfId="0" applyFill="1" applyBorder="1"/>
    <xf numFmtId="165" fontId="0" fillId="11" borderId="89" xfId="0" applyNumberFormat="1" applyFill="1" applyBorder="1" applyAlignment="1">
      <alignment horizontal="center"/>
    </xf>
    <xf numFmtId="165" fontId="0" fillId="11" borderId="90" xfId="0" applyNumberFormat="1" applyFill="1" applyBorder="1" applyAlignment="1">
      <alignment horizontal="center"/>
    </xf>
    <xf numFmtId="0" fontId="0" fillId="11" borderId="94" xfId="0" applyFill="1" applyBorder="1"/>
    <xf numFmtId="165" fontId="0" fillId="11" borderId="95" xfId="0" applyNumberFormat="1" applyFill="1" applyBorder="1" applyAlignment="1">
      <alignment horizontal="center"/>
    </xf>
    <xf numFmtId="165" fontId="0" fillId="11" borderId="96" xfId="0" applyNumberFormat="1" applyFill="1" applyBorder="1" applyAlignment="1">
      <alignment horizontal="center"/>
    </xf>
    <xf numFmtId="0" fontId="0" fillId="11" borderId="100" xfId="0" applyFill="1" applyBorder="1"/>
    <xf numFmtId="165" fontId="0" fillId="11" borderId="101" xfId="0" applyNumberFormat="1" applyFill="1" applyBorder="1" applyAlignment="1">
      <alignment horizontal="center"/>
    </xf>
    <xf numFmtId="165" fontId="0" fillId="11" borderId="102" xfId="0" applyNumberFormat="1" applyFill="1" applyBorder="1" applyAlignment="1">
      <alignment horizontal="center"/>
    </xf>
    <xf numFmtId="0" fontId="0" fillId="11" borderId="97" xfId="0" applyFill="1" applyBorder="1"/>
    <xf numFmtId="165" fontId="0" fillId="11" borderId="98" xfId="0" applyNumberFormat="1" applyFill="1" applyBorder="1" applyAlignment="1">
      <alignment horizontal="center"/>
    </xf>
    <xf numFmtId="165" fontId="0" fillId="11" borderId="99" xfId="0" applyNumberFormat="1" applyFill="1" applyBorder="1" applyAlignment="1">
      <alignment horizontal="center"/>
    </xf>
    <xf numFmtId="0" fontId="0" fillId="11" borderId="58" xfId="0" applyFill="1" applyBorder="1"/>
    <xf numFmtId="165" fontId="0" fillId="11" borderId="59" xfId="0" applyNumberFormat="1" applyFill="1" applyBorder="1"/>
    <xf numFmtId="165" fontId="0" fillId="11" borderId="60" xfId="0" applyNumberFormat="1" applyFill="1" applyBorder="1"/>
    <xf numFmtId="0" fontId="0" fillId="11" borderId="61" xfId="0" applyFill="1" applyBorder="1"/>
    <xf numFmtId="165" fontId="0" fillId="11" borderId="62" xfId="0" applyNumberFormat="1" applyFill="1" applyBorder="1"/>
    <xf numFmtId="165" fontId="0" fillId="11" borderId="63" xfId="0" applyNumberFormat="1" applyFill="1" applyBorder="1"/>
    <xf numFmtId="0" fontId="11" fillId="0" borderId="0" xfId="2" applyFont="1" applyAlignment="1">
      <alignment wrapText="1"/>
    </xf>
    <xf numFmtId="0" fontId="11" fillId="0" borderId="0" xfId="2" applyFont="1" applyAlignment="1">
      <alignment vertical="top" wrapText="1"/>
    </xf>
    <xf numFmtId="0" fontId="11" fillId="0" borderId="0" xfId="2" applyFont="1" applyAlignment="1">
      <alignment horizontal="center" wrapText="1"/>
    </xf>
    <xf numFmtId="165" fontId="11" fillId="0" borderId="0" xfId="2" applyNumberFormat="1" applyFont="1" applyAlignment="1">
      <alignment horizontal="right" vertical="top"/>
    </xf>
    <xf numFmtId="0" fontId="0" fillId="14" borderId="58" xfId="0" applyFill="1" applyBorder="1"/>
    <xf numFmtId="165" fontId="0" fillId="14" borderId="59" xfId="0" applyNumberFormat="1" applyFill="1" applyBorder="1"/>
    <xf numFmtId="165" fontId="0" fillId="14" borderId="60" xfId="0" applyNumberFormat="1" applyFill="1" applyBorder="1"/>
    <xf numFmtId="0" fontId="0" fillId="14" borderId="64" xfId="0" applyFill="1" applyBorder="1"/>
    <xf numFmtId="165" fontId="0" fillId="14" borderId="65" xfId="0" applyNumberFormat="1" applyFill="1" applyBorder="1"/>
    <xf numFmtId="0" fontId="0" fillId="11" borderId="64" xfId="0" applyFill="1" applyBorder="1"/>
    <xf numFmtId="165" fontId="0" fillId="11" borderId="65" xfId="0" applyNumberFormat="1" applyFill="1" applyBorder="1"/>
    <xf numFmtId="165" fontId="0" fillId="11" borderId="66" xfId="0" applyNumberFormat="1" applyFill="1" applyBorder="1"/>
    <xf numFmtId="0" fontId="25" fillId="0" borderId="0" xfId="0" applyFont="1"/>
    <xf numFmtId="0" fontId="0" fillId="12" borderId="64" xfId="0" applyFill="1" applyBorder="1"/>
    <xf numFmtId="165" fontId="0" fillId="12" borderId="65" xfId="0" applyNumberFormat="1" applyFill="1" applyBorder="1"/>
    <xf numFmtId="165" fontId="0" fillId="12" borderId="66" xfId="0" applyNumberFormat="1" applyFill="1" applyBorder="1"/>
    <xf numFmtId="0" fontId="0" fillId="12" borderId="61" xfId="0" applyFill="1" applyBorder="1"/>
    <xf numFmtId="165" fontId="0" fillId="12" borderId="62" xfId="0" applyNumberFormat="1" applyFill="1" applyBorder="1"/>
    <xf numFmtId="165" fontId="0" fillId="12" borderId="63" xfId="0" applyNumberFormat="1" applyFill="1" applyBorder="1"/>
    <xf numFmtId="0" fontId="0" fillId="12" borderId="58" xfId="0" applyFill="1" applyBorder="1"/>
    <xf numFmtId="165" fontId="0" fillId="12" borderId="59" xfId="0" applyNumberFormat="1" applyFill="1" applyBorder="1"/>
    <xf numFmtId="0" fontId="0" fillId="14" borderId="88" xfId="0" applyFill="1" applyBorder="1"/>
    <xf numFmtId="165" fontId="0" fillId="14" borderId="89" xfId="0" applyNumberFormat="1" applyFill="1" applyBorder="1"/>
    <xf numFmtId="170" fontId="11" fillId="11" borderId="28" xfId="2" applyNumberFormat="1" applyFont="1" applyFill="1" applyBorder="1" applyAlignment="1">
      <alignment horizontal="right" vertical="top"/>
    </xf>
    <xf numFmtId="170" fontId="11" fillId="11" borderId="29" xfId="2" applyNumberFormat="1" applyFont="1" applyFill="1" applyBorder="1" applyAlignment="1">
      <alignment horizontal="right" vertical="top"/>
    </xf>
    <xf numFmtId="170" fontId="11" fillId="11" borderId="33" xfId="2" applyNumberFormat="1" applyFont="1" applyFill="1" applyBorder="1" applyAlignment="1">
      <alignment horizontal="right" vertical="top"/>
    </xf>
    <xf numFmtId="170" fontId="11" fillId="11" borderId="34" xfId="2" applyNumberFormat="1" applyFont="1" applyFill="1" applyBorder="1" applyAlignment="1">
      <alignment horizontal="right" vertical="top"/>
    </xf>
    <xf numFmtId="170" fontId="11" fillId="11" borderId="38" xfId="2" applyNumberFormat="1" applyFont="1" applyFill="1" applyBorder="1" applyAlignment="1">
      <alignment horizontal="right" vertical="top"/>
    </xf>
    <xf numFmtId="170" fontId="11" fillId="11" borderId="39" xfId="2" applyNumberFormat="1" applyFont="1" applyFill="1" applyBorder="1" applyAlignment="1">
      <alignment horizontal="right" vertical="top"/>
    </xf>
    <xf numFmtId="165" fontId="9" fillId="0" borderId="0" xfId="0" applyNumberFormat="1" applyFont="1"/>
    <xf numFmtId="3" fontId="19" fillId="11" borderId="75" xfId="0" applyNumberFormat="1" applyFont="1" applyFill="1" applyBorder="1" applyAlignment="1">
      <alignment horizontal="center" wrapText="1" readingOrder="1"/>
    </xf>
    <xf numFmtId="3" fontId="19" fillId="11" borderId="76" xfId="0" applyNumberFormat="1" applyFont="1" applyFill="1" applyBorder="1" applyAlignment="1">
      <alignment horizontal="center" wrapText="1" readingOrder="1"/>
    </xf>
    <xf numFmtId="3" fontId="19" fillId="11" borderId="82" xfId="0" applyNumberFormat="1" applyFont="1" applyFill="1" applyBorder="1" applyAlignment="1">
      <alignment horizontal="center" wrapText="1" readingOrder="1"/>
    </xf>
    <xf numFmtId="3" fontId="19" fillId="12" borderId="75" xfId="0" applyNumberFormat="1" applyFont="1" applyFill="1" applyBorder="1" applyAlignment="1">
      <alignment horizontal="center" wrapText="1" readingOrder="1"/>
    </xf>
    <xf numFmtId="3" fontId="19" fillId="12" borderId="76" xfId="0" applyNumberFormat="1" applyFont="1" applyFill="1" applyBorder="1" applyAlignment="1">
      <alignment horizontal="center" wrapText="1" readingOrder="1"/>
    </xf>
    <xf numFmtId="3" fontId="19" fillId="12" borderId="82" xfId="0" applyNumberFormat="1" applyFont="1" applyFill="1" applyBorder="1" applyAlignment="1">
      <alignment horizontal="center" wrapText="1" readingOrder="1"/>
    </xf>
    <xf numFmtId="3" fontId="19" fillId="10" borderId="75" xfId="0" applyNumberFormat="1" applyFont="1" applyFill="1" applyBorder="1" applyAlignment="1">
      <alignment horizontal="center" wrapText="1" readingOrder="1"/>
    </xf>
    <xf numFmtId="3" fontId="19" fillId="10" borderId="76" xfId="0" applyNumberFormat="1" applyFont="1" applyFill="1" applyBorder="1" applyAlignment="1">
      <alignment horizontal="center" wrapText="1" readingOrder="1"/>
    </xf>
    <xf numFmtId="3" fontId="19" fillId="10" borderId="82" xfId="0" applyNumberFormat="1" applyFont="1" applyFill="1" applyBorder="1" applyAlignment="1">
      <alignment horizontal="center" wrapText="1" readingOrder="1"/>
    </xf>
    <xf numFmtId="3" fontId="18" fillId="10" borderId="75" xfId="0" applyNumberFormat="1" applyFont="1" applyFill="1" applyBorder="1" applyAlignment="1">
      <alignment horizontal="center" wrapText="1" readingOrder="1"/>
    </xf>
    <xf numFmtId="3" fontId="18" fillId="10" borderId="76" xfId="0" applyNumberFormat="1" applyFont="1" applyFill="1" applyBorder="1" applyAlignment="1">
      <alignment horizontal="center" wrapText="1" readingOrder="1"/>
    </xf>
    <xf numFmtId="0" fontId="18" fillId="9" borderId="75" xfId="0" applyFont="1" applyFill="1" applyBorder="1" applyAlignment="1">
      <alignment wrapText="1"/>
    </xf>
    <xf numFmtId="0" fontId="18" fillId="9" borderId="76" xfId="0" applyFont="1" applyFill="1" applyBorder="1" applyAlignment="1">
      <alignment wrapText="1"/>
    </xf>
    <xf numFmtId="0" fontId="18" fillId="9" borderId="82" xfId="0" applyFont="1" applyFill="1" applyBorder="1" applyAlignment="1">
      <alignment wrapText="1"/>
    </xf>
    <xf numFmtId="3" fontId="19" fillId="12" borderId="78" xfId="0" applyNumberFormat="1" applyFont="1" applyFill="1" applyBorder="1" applyAlignment="1">
      <alignment horizontal="center" wrapText="1" readingOrder="1"/>
    </xf>
    <xf numFmtId="3" fontId="19" fillId="12" borderId="79" xfId="0" applyNumberFormat="1" applyFont="1" applyFill="1" applyBorder="1" applyAlignment="1">
      <alignment horizontal="center" wrapText="1" readingOrder="1"/>
    </xf>
    <xf numFmtId="3" fontId="19" fillId="12" borderId="83" xfId="0" applyNumberFormat="1" applyFont="1" applyFill="1" applyBorder="1" applyAlignment="1">
      <alignment horizontal="center" wrapText="1" readingOrder="1"/>
    </xf>
    <xf numFmtId="3" fontId="19" fillId="11" borderId="85" xfId="0" applyNumberFormat="1" applyFont="1" applyFill="1" applyBorder="1" applyAlignment="1">
      <alignment horizontal="center" wrapText="1" readingOrder="1"/>
    </xf>
    <xf numFmtId="3" fontId="19" fillId="11" borderId="86" xfId="0" applyNumberFormat="1" applyFont="1" applyFill="1" applyBorder="1" applyAlignment="1">
      <alignment horizontal="center" wrapText="1" readingOrder="1"/>
    </xf>
    <xf numFmtId="3" fontId="19" fillId="11" borderId="87" xfId="0" applyNumberFormat="1" applyFont="1" applyFill="1" applyBorder="1" applyAlignment="1">
      <alignment horizontal="center" wrapText="1" readingOrder="1"/>
    </xf>
    <xf numFmtId="3" fontId="19" fillId="12" borderId="85" xfId="0" applyNumberFormat="1" applyFont="1" applyFill="1" applyBorder="1" applyAlignment="1">
      <alignment horizontal="center" wrapText="1" readingOrder="1"/>
    </xf>
    <xf numFmtId="3" fontId="19" fillId="12" borderId="86" xfId="0" applyNumberFormat="1" applyFont="1" applyFill="1" applyBorder="1" applyAlignment="1">
      <alignment horizontal="center" wrapText="1" readingOrder="1"/>
    </xf>
    <xf numFmtId="3" fontId="19" fillId="12" borderId="87" xfId="0" applyNumberFormat="1" applyFont="1" applyFill="1" applyBorder="1" applyAlignment="1">
      <alignment horizontal="center" wrapText="1" readingOrder="1"/>
    </xf>
    <xf numFmtId="3" fontId="19" fillId="10" borderId="85" xfId="0" applyNumberFormat="1" applyFont="1" applyFill="1" applyBorder="1" applyAlignment="1">
      <alignment horizontal="center" wrapText="1" readingOrder="1"/>
    </xf>
    <xf numFmtId="3" fontId="19" fillId="10" borderId="86" xfId="0" applyNumberFormat="1" applyFont="1" applyFill="1" applyBorder="1" applyAlignment="1">
      <alignment horizontal="center" wrapText="1" readingOrder="1"/>
    </xf>
    <xf numFmtId="3" fontId="19" fillId="10" borderId="87" xfId="0" applyNumberFormat="1" applyFont="1" applyFill="1" applyBorder="1" applyAlignment="1">
      <alignment horizontal="center" wrapText="1" readingOrder="1"/>
    </xf>
    <xf numFmtId="3" fontId="18" fillId="10" borderId="85" xfId="0" applyNumberFormat="1" applyFont="1" applyFill="1" applyBorder="1" applyAlignment="1">
      <alignment horizontal="center" wrapText="1" readingOrder="1"/>
    </xf>
    <xf numFmtId="3" fontId="18" fillId="10" borderId="86" xfId="0" applyNumberFormat="1" applyFont="1" applyFill="1" applyBorder="1" applyAlignment="1">
      <alignment horizontal="center" wrapText="1" readingOrder="1"/>
    </xf>
    <xf numFmtId="3" fontId="18" fillId="10" borderId="87" xfId="0" applyNumberFormat="1" applyFont="1" applyFill="1" applyBorder="1" applyAlignment="1">
      <alignment horizontal="center" wrapText="1" readingOrder="1"/>
    </xf>
    <xf numFmtId="3" fontId="18" fillId="9" borderId="85" xfId="0" applyNumberFormat="1" applyFont="1" applyFill="1" applyBorder="1" applyAlignment="1">
      <alignment horizontal="center" wrapText="1" readingOrder="1"/>
    </xf>
    <xf numFmtId="3" fontId="18" fillId="9" borderId="86" xfId="0" applyNumberFormat="1" applyFont="1" applyFill="1" applyBorder="1" applyAlignment="1">
      <alignment horizontal="center" wrapText="1" readingOrder="1"/>
    </xf>
    <xf numFmtId="3" fontId="18" fillId="9" borderId="87" xfId="0" applyNumberFormat="1" applyFont="1" applyFill="1" applyBorder="1" applyAlignment="1">
      <alignment horizontal="center" wrapText="1" readingOrder="1"/>
    </xf>
    <xf numFmtId="3" fontId="19" fillId="12" borderId="55" xfId="0" applyNumberFormat="1" applyFont="1" applyFill="1" applyBorder="1" applyAlignment="1">
      <alignment horizontal="center" wrapText="1" readingOrder="1"/>
    </xf>
    <xf numFmtId="3" fontId="19" fillId="12" borderId="56" xfId="0" applyNumberFormat="1" applyFont="1" applyFill="1" applyBorder="1" applyAlignment="1">
      <alignment horizontal="center" wrapText="1" readingOrder="1"/>
    </xf>
    <xf numFmtId="3" fontId="19" fillId="12" borderId="57" xfId="0" applyNumberFormat="1" applyFont="1" applyFill="1" applyBorder="1" applyAlignment="1">
      <alignment horizontal="center" wrapText="1" readingOrder="1"/>
    </xf>
    <xf numFmtId="3" fontId="19" fillId="11" borderId="77" xfId="0" applyNumberFormat="1" applyFont="1" applyFill="1" applyBorder="1" applyAlignment="1">
      <alignment horizontal="center" wrapText="1" readingOrder="1"/>
    </xf>
    <xf numFmtId="3" fontId="19" fillId="12" borderId="77" xfId="0" applyNumberFormat="1" applyFont="1" applyFill="1" applyBorder="1" applyAlignment="1">
      <alignment horizontal="center" wrapText="1" readingOrder="1"/>
    </xf>
    <xf numFmtId="3" fontId="19" fillId="10" borderId="77" xfId="0" applyNumberFormat="1" applyFont="1" applyFill="1" applyBorder="1" applyAlignment="1">
      <alignment horizontal="center" wrapText="1" readingOrder="1"/>
    </xf>
    <xf numFmtId="0" fontId="19" fillId="9" borderId="75" xfId="0" applyFont="1" applyFill="1" applyBorder="1" applyAlignment="1">
      <alignment wrapText="1"/>
    </xf>
    <xf numFmtId="0" fontId="19" fillId="9" borderId="76" xfId="0" applyFont="1" applyFill="1" applyBorder="1" applyAlignment="1">
      <alignment wrapText="1"/>
    </xf>
    <xf numFmtId="0" fontId="19" fillId="9" borderId="77" xfId="0" applyFont="1" applyFill="1" applyBorder="1" applyAlignment="1">
      <alignment wrapText="1"/>
    </xf>
    <xf numFmtId="3" fontId="19" fillId="12" borderId="80" xfId="0" applyNumberFormat="1" applyFont="1" applyFill="1" applyBorder="1" applyAlignment="1">
      <alignment horizontal="center" wrapText="1" readingOrder="1"/>
    </xf>
    <xf numFmtId="165" fontId="0" fillId="0" borderId="95" xfId="0" applyNumberFormat="1" applyBorder="1"/>
    <xf numFmtId="165" fontId="26" fillId="0" borderId="95" xfId="0" applyNumberFormat="1" applyFont="1" applyBorder="1"/>
    <xf numFmtId="0" fontId="11" fillId="12" borderId="47" xfId="1" applyFont="1" applyFill="1" applyBorder="1" applyAlignment="1">
      <alignment horizontal="center" wrapText="1"/>
    </xf>
    <xf numFmtId="0" fontId="11" fillId="12" borderId="50" xfId="1" applyFont="1" applyFill="1" applyBorder="1" applyAlignment="1">
      <alignment horizontal="center" wrapText="1"/>
    </xf>
    <xf numFmtId="0" fontId="11" fillId="12" borderId="44" xfId="1" applyFont="1" applyFill="1" applyBorder="1" applyAlignment="1">
      <alignment horizontal="center" wrapText="1"/>
    </xf>
    <xf numFmtId="0" fontId="11" fillId="12" borderId="45" xfId="1" applyFont="1" applyFill="1" applyBorder="1" applyAlignment="1">
      <alignment horizontal="center" wrapText="1"/>
    </xf>
    <xf numFmtId="165" fontId="11" fillId="12" borderId="28" xfId="1" applyNumberFormat="1" applyFont="1" applyFill="1" applyBorder="1" applyAlignment="1">
      <alignment horizontal="right" vertical="top"/>
    </xf>
    <xf numFmtId="165" fontId="11" fillId="12" borderId="29" xfId="1" applyNumberFormat="1" applyFont="1" applyFill="1" applyBorder="1" applyAlignment="1">
      <alignment horizontal="right" vertical="top"/>
    </xf>
    <xf numFmtId="165" fontId="11" fillId="12" borderId="33" xfId="1" applyNumberFormat="1" applyFont="1" applyFill="1" applyBorder="1" applyAlignment="1">
      <alignment horizontal="right" vertical="top"/>
    </xf>
    <xf numFmtId="165" fontId="11" fillId="12" borderId="34" xfId="1" applyNumberFormat="1" applyFont="1" applyFill="1" applyBorder="1" applyAlignment="1">
      <alignment horizontal="right" vertical="top"/>
    </xf>
    <xf numFmtId="165" fontId="11" fillId="12" borderId="38" xfId="1" applyNumberFormat="1" applyFont="1" applyFill="1" applyBorder="1" applyAlignment="1">
      <alignment horizontal="right" vertical="top"/>
    </xf>
    <xf numFmtId="165" fontId="11" fillId="12" borderId="39" xfId="1" applyNumberFormat="1" applyFont="1" applyFill="1" applyBorder="1" applyAlignment="1">
      <alignment horizontal="right" vertical="top"/>
    </xf>
    <xf numFmtId="165" fontId="0" fillId="12" borderId="65" xfId="0" applyNumberFormat="1" applyFill="1" applyBorder="1" applyAlignment="1">
      <alignment horizontal="center"/>
    </xf>
    <xf numFmtId="165" fontId="0" fillId="12" borderId="66" xfId="0" applyNumberFormat="1" applyFill="1" applyBorder="1" applyAlignment="1">
      <alignment horizontal="center"/>
    </xf>
    <xf numFmtId="165" fontId="0" fillId="12" borderId="60" xfId="0" applyNumberFormat="1" applyFill="1" applyBorder="1"/>
    <xf numFmtId="0" fontId="0" fillId="15" borderId="100" xfId="0" applyFill="1" applyBorder="1"/>
    <xf numFmtId="165" fontId="0" fillId="15" borderId="101" xfId="0" applyNumberFormat="1" applyFill="1" applyBorder="1" applyAlignment="1">
      <alignment horizontal="center"/>
    </xf>
    <xf numFmtId="165" fontId="0" fillId="15" borderId="102" xfId="0" applyNumberFormat="1" applyFill="1" applyBorder="1" applyAlignment="1">
      <alignment horizontal="center"/>
    </xf>
    <xf numFmtId="0" fontId="0" fillId="15" borderId="58" xfId="0" applyFill="1" applyBorder="1"/>
    <xf numFmtId="165" fontId="0" fillId="15" borderId="59" xfId="0" applyNumberFormat="1" applyFill="1" applyBorder="1"/>
    <xf numFmtId="165" fontId="0" fillId="15" borderId="60" xfId="0" applyNumberFormat="1" applyFill="1" applyBorder="1"/>
    <xf numFmtId="0" fontId="0" fillId="15" borderId="88" xfId="0" applyFill="1" applyBorder="1"/>
    <xf numFmtId="165" fontId="0" fillId="15" borderId="89" xfId="0" applyNumberFormat="1" applyFill="1" applyBorder="1"/>
    <xf numFmtId="165" fontId="0" fillId="15" borderId="90" xfId="0" applyNumberFormat="1" applyFill="1" applyBorder="1"/>
    <xf numFmtId="0" fontId="0" fillId="15" borderId="61" xfId="0" applyFill="1" applyBorder="1"/>
    <xf numFmtId="165" fontId="0" fillId="15" borderId="62" xfId="0" applyNumberFormat="1" applyFill="1" applyBorder="1"/>
    <xf numFmtId="165" fontId="0" fillId="15" borderId="63" xfId="0" applyNumberFormat="1" applyFill="1" applyBorder="1"/>
    <xf numFmtId="171" fontId="0" fillId="0" borderId="0" xfId="0" applyNumberFormat="1"/>
    <xf numFmtId="0" fontId="4" fillId="3" borderId="72" xfId="0" applyFont="1" applyFill="1" applyBorder="1" applyAlignment="1">
      <alignment horizontal="center" wrapText="1" readingOrder="1"/>
    </xf>
    <xf numFmtId="0" fontId="4" fillId="3" borderId="73" xfId="0" applyFont="1" applyFill="1" applyBorder="1" applyAlignment="1">
      <alignment horizontal="center" wrapText="1" readingOrder="1"/>
    </xf>
    <xf numFmtId="0" fontId="4" fillId="3" borderId="74" xfId="0" applyFont="1" applyFill="1" applyBorder="1" applyAlignment="1">
      <alignment horizontal="center" wrapText="1" readingOrder="1"/>
    </xf>
    <xf numFmtId="0" fontId="4" fillId="3" borderId="81" xfId="0" applyFont="1" applyFill="1" applyBorder="1" applyAlignment="1">
      <alignment horizontal="center" wrapText="1" readingOrder="1"/>
    </xf>
    <xf numFmtId="0" fontId="4" fillId="3" borderId="85" xfId="0" applyFont="1" applyFill="1" applyBorder="1" applyAlignment="1">
      <alignment horizontal="center" wrapText="1" readingOrder="1"/>
    </xf>
    <xf numFmtId="0" fontId="4" fillId="3" borderId="86" xfId="0" applyFont="1" applyFill="1" applyBorder="1" applyAlignment="1">
      <alignment horizontal="center" wrapText="1" readingOrder="1"/>
    </xf>
    <xf numFmtId="0" fontId="4" fillId="3" borderId="87" xfId="0" applyFont="1" applyFill="1" applyBorder="1" applyAlignment="1">
      <alignment horizontal="center" wrapText="1" readingOrder="1"/>
    </xf>
    <xf numFmtId="0" fontId="4" fillId="3" borderId="69" xfId="0" applyFont="1" applyFill="1" applyBorder="1" applyAlignment="1">
      <alignment horizontal="center" wrapText="1" readingOrder="1"/>
    </xf>
    <xf numFmtId="0" fontId="4" fillId="3" borderId="15" xfId="0" applyFont="1" applyFill="1" applyBorder="1" applyAlignment="1">
      <alignment horizontal="center" wrapText="1" readingOrder="1"/>
    </xf>
    <xf numFmtId="169" fontId="0" fillId="9" borderId="0" xfId="0" applyNumberFormat="1" applyFill="1"/>
    <xf numFmtId="170" fontId="10" fillId="0" borderId="0" xfId="2" applyNumberFormat="1"/>
    <xf numFmtId="1" fontId="0" fillId="0" borderId="0" xfId="0" applyNumberFormat="1"/>
    <xf numFmtId="170" fontId="0" fillId="0" borderId="0" xfId="0" applyNumberFormat="1"/>
    <xf numFmtId="0" fontId="28" fillId="0" borderId="0" xfId="3"/>
    <xf numFmtId="0" fontId="18" fillId="10" borderId="68" xfId="0" applyFont="1" applyFill="1" applyBorder="1" applyAlignment="1">
      <alignment horizontal="right" wrapText="1" readingOrder="1"/>
    </xf>
    <xf numFmtId="0" fontId="19" fillId="9" borderId="120" xfId="0" applyFont="1" applyFill="1" applyBorder="1" applyAlignment="1">
      <alignment wrapText="1"/>
    </xf>
    <xf numFmtId="0" fontId="4" fillId="3" borderId="122" xfId="0" applyFont="1" applyFill="1" applyBorder="1" applyAlignment="1">
      <alignment horizontal="center" wrapText="1" readingOrder="1"/>
    </xf>
    <xf numFmtId="0" fontId="4" fillId="3" borderId="123" xfId="0" applyFont="1" applyFill="1" applyBorder="1" applyAlignment="1">
      <alignment horizontal="center" wrapText="1" readingOrder="1"/>
    </xf>
    <xf numFmtId="0" fontId="4" fillId="3" borderId="124" xfId="0" applyFont="1" applyFill="1" applyBorder="1" applyAlignment="1">
      <alignment horizontal="center" wrapText="1" readingOrder="1"/>
    </xf>
    <xf numFmtId="3" fontId="19" fillId="11" borderId="125" xfId="0" applyNumberFormat="1" applyFont="1" applyFill="1" applyBorder="1" applyAlignment="1">
      <alignment horizontal="center" wrapText="1" readingOrder="1"/>
    </xf>
    <xf numFmtId="3" fontId="19" fillId="11" borderId="126" xfId="0" applyNumberFormat="1" applyFont="1" applyFill="1" applyBorder="1" applyAlignment="1">
      <alignment horizontal="center" wrapText="1" readingOrder="1"/>
    </xf>
    <xf numFmtId="3" fontId="19" fillId="12" borderId="125" xfId="0" applyNumberFormat="1" applyFont="1" applyFill="1" applyBorder="1" applyAlignment="1">
      <alignment horizontal="center" wrapText="1" readingOrder="1"/>
    </xf>
    <xf numFmtId="3" fontId="19" fillId="12" borderId="126" xfId="0" applyNumberFormat="1" applyFont="1" applyFill="1" applyBorder="1" applyAlignment="1">
      <alignment horizontal="center" wrapText="1" readingOrder="1"/>
    </xf>
    <xf numFmtId="3" fontId="19" fillId="10" borderId="125" xfId="0" applyNumberFormat="1" applyFont="1" applyFill="1" applyBorder="1" applyAlignment="1">
      <alignment horizontal="center" wrapText="1" readingOrder="1"/>
    </xf>
    <xf numFmtId="3" fontId="19" fillId="10" borderId="126" xfId="0" applyNumberFormat="1" applyFont="1" applyFill="1" applyBorder="1" applyAlignment="1">
      <alignment horizontal="center" wrapText="1" readingOrder="1"/>
    </xf>
    <xf numFmtId="3" fontId="18" fillId="10" borderId="125" xfId="0" applyNumberFormat="1" applyFont="1" applyFill="1" applyBorder="1" applyAlignment="1">
      <alignment horizontal="center" wrapText="1" readingOrder="1"/>
    </xf>
    <xf numFmtId="3" fontId="18" fillId="10" borderId="126" xfId="0" applyNumberFormat="1" applyFont="1" applyFill="1" applyBorder="1" applyAlignment="1">
      <alignment horizontal="center" wrapText="1" readingOrder="1"/>
    </xf>
    <xf numFmtId="0" fontId="19" fillId="9" borderId="125" xfId="0" applyFont="1" applyFill="1" applyBorder="1" applyAlignment="1">
      <alignment wrapText="1"/>
    </xf>
    <xf numFmtId="0" fontId="19" fillId="9" borderId="126" xfId="0" applyFont="1" applyFill="1" applyBorder="1" applyAlignment="1">
      <alignment wrapText="1"/>
    </xf>
    <xf numFmtId="3" fontId="19" fillId="12" borderId="127" xfId="0" applyNumberFormat="1" applyFont="1" applyFill="1" applyBorder="1" applyAlignment="1">
      <alignment horizontal="center" wrapText="1" readingOrder="1"/>
    </xf>
    <xf numFmtId="3" fontId="19" fillId="12" borderId="129" xfId="0" applyNumberFormat="1" applyFont="1" applyFill="1" applyBorder="1" applyAlignment="1">
      <alignment horizontal="center" wrapText="1" readingOrder="1"/>
    </xf>
    <xf numFmtId="3" fontId="19" fillId="11" borderId="130" xfId="0" applyNumberFormat="1" applyFont="1" applyFill="1" applyBorder="1" applyAlignment="1">
      <alignment horizontal="center" wrapText="1" readingOrder="1"/>
    </xf>
    <xf numFmtId="3" fontId="19" fillId="12" borderId="130" xfId="0" applyNumberFormat="1" applyFont="1" applyFill="1" applyBorder="1" applyAlignment="1">
      <alignment horizontal="center" wrapText="1" readingOrder="1"/>
    </xf>
    <xf numFmtId="3" fontId="19" fillId="10" borderId="130" xfId="0" applyNumberFormat="1" applyFont="1" applyFill="1" applyBorder="1" applyAlignment="1">
      <alignment horizontal="center" wrapText="1" readingOrder="1"/>
    </xf>
    <xf numFmtId="0" fontId="19" fillId="9" borderId="130" xfId="0" applyFont="1" applyFill="1" applyBorder="1" applyAlignment="1">
      <alignment wrapText="1"/>
    </xf>
    <xf numFmtId="3" fontId="19" fillId="11" borderId="132" xfId="0" applyNumberFormat="1" applyFont="1" applyFill="1" applyBorder="1" applyAlignment="1">
      <alignment horizontal="center" wrapText="1" readingOrder="1"/>
    </xf>
    <xf numFmtId="3" fontId="19" fillId="12" borderId="132" xfId="0" applyNumberFormat="1" applyFont="1" applyFill="1" applyBorder="1" applyAlignment="1">
      <alignment horizontal="center" wrapText="1" readingOrder="1"/>
    </xf>
    <xf numFmtId="3" fontId="19" fillId="10" borderId="132" xfId="0" applyNumberFormat="1" applyFont="1" applyFill="1" applyBorder="1" applyAlignment="1">
      <alignment horizontal="center" wrapText="1" readingOrder="1"/>
    </xf>
    <xf numFmtId="3" fontId="18" fillId="10" borderId="132" xfId="0" applyNumberFormat="1" applyFont="1" applyFill="1" applyBorder="1" applyAlignment="1">
      <alignment horizontal="center" wrapText="1" readingOrder="1"/>
    </xf>
    <xf numFmtId="0" fontId="19" fillId="9" borderId="132" xfId="0" applyFont="1" applyFill="1" applyBorder="1" applyAlignment="1">
      <alignment wrapText="1"/>
    </xf>
    <xf numFmtId="0" fontId="4" fillId="3" borderId="133" xfId="0" applyFont="1" applyFill="1" applyBorder="1" applyAlignment="1">
      <alignment horizontal="center" wrapText="1" readingOrder="1"/>
    </xf>
    <xf numFmtId="0" fontId="4" fillId="3" borderId="134" xfId="0" applyFont="1" applyFill="1" applyBorder="1" applyAlignment="1">
      <alignment horizontal="center" wrapText="1" readingOrder="1"/>
    </xf>
    <xf numFmtId="0" fontId="4" fillId="3" borderId="135" xfId="0" applyFont="1" applyFill="1" applyBorder="1" applyAlignment="1">
      <alignment horizontal="center" wrapText="1" readingOrder="1"/>
    </xf>
    <xf numFmtId="3" fontId="19" fillId="11" borderId="122" xfId="0" applyNumberFormat="1" applyFont="1" applyFill="1" applyBorder="1" applyAlignment="1">
      <alignment horizontal="center" wrapText="1" readingOrder="1"/>
    </xf>
    <xf numFmtId="3" fontId="19" fillId="11" borderId="124" xfId="0" applyNumberFormat="1" applyFont="1" applyFill="1" applyBorder="1" applyAlignment="1">
      <alignment horizontal="center" wrapText="1" readingOrder="1"/>
    </xf>
    <xf numFmtId="165" fontId="0" fillId="11" borderId="125" xfId="0" applyNumberFormat="1" applyFill="1" applyBorder="1" applyAlignment="1">
      <alignment horizontal="center"/>
    </xf>
    <xf numFmtId="165" fontId="0" fillId="11" borderId="126" xfId="0" applyNumberFormat="1" applyFill="1" applyBorder="1" applyAlignment="1">
      <alignment horizontal="center"/>
    </xf>
    <xf numFmtId="0" fontId="21" fillId="11" borderId="136" xfId="0" applyFont="1" applyFill="1" applyBorder="1"/>
    <xf numFmtId="0" fontId="21" fillId="11" borderId="113" xfId="0" applyFont="1" applyFill="1" applyBorder="1"/>
    <xf numFmtId="0" fontId="21" fillId="11" borderId="137" xfId="0" applyFont="1" applyFill="1" applyBorder="1"/>
    <xf numFmtId="0" fontId="21" fillId="11" borderId="138" xfId="0" applyFont="1" applyFill="1" applyBorder="1"/>
    <xf numFmtId="0" fontId="21" fillId="0" borderId="112" xfId="0" applyFont="1" applyBorder="1"/>
    <xf numFmtId="0" fontId="21" fillId="14" borderId="137" xfId="0" applyFont="1" applyFill="1" applyBorder="1"/>
    <xf numFmtId="0" fontId="21" fillId="11" borderId="121" xfId="0" applyFont="1" applyFill="1" applyBorder="1"/>
    <xf numFmtId="0" fontId="21" fillId="14" borderId="136" xfId="0" applyFont="1" applyFill="1" applyBorder="1"/>
    <xf numFmtId="165" fontId="0" fillId="11" borderId="127" xfId="0" applyNumberFormat="1" applyFill="1" applyBorder="1" applyAlignment="1">
      <alignment horizontal="center"/>
    </xf>
    <xf numFmtId="165" fontId="0" fillId="11" borderId="129" xfId="0" applyNumberFormat="1" applyFill="1" applyBorder="1" applyAlignment="1">
      <alignment horizontal="center"/>
    </xf>
    <xf numFmtId="165" fontId="24" fillId="0" borderId="0" xfId="0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106" xfId="0" applyBorder="1"/>
    <xf numFmtId="0" fontId="21" fillId="0" borderId="139" xfId="0" applyFont="1" applyBorder="1" applyAlignment="1">
      <alignment horizontal="center"/>
    </xf>
    <xf numFmtId="0" fontId="21" fillId="0" borderId="134" xfId="0" applyFont="1" applyBorder="1" applyAlignment="1">
      <alignment horizontal="center"/>
    </xf>
    <xf numFmtId="0" fontId="21" fillId="0" borderId="135" xfId="0" applyFont="1" applyBorder="1" applyAlignment="1">
      <alignment horizontal="center"/>
    </xf>
    <xf numFmtId="165" fontId="0" fillId="11" borderId="122" xfId="0" applyNumberFormat="1" applyFill="1" applyBorder="1" applyAlignment="1">
      <alignment horizontal="center"/>
    </xf>
    <xf numFmtId="165" fontId="0" fillId="11" borderId="123" xfId="0" applyNumberFormat="1" applyFill="1" applyBorder="1" applyAlignment="1">
      <alignment horizontal="center"/>
    </xf>
    <xf numFmtId="165" fontId="0" fillId="11" borderId="124" xfId="0" applyNumberFormat="1" applyFill="1" applyBorder="1" applyAlignment="1">
      <alignment horizontal="center"/>
    </xf>
    <xf numFmtId="165" fontId="0" fillId="11" borderId="140" xfId="0" applyNumberFormat="1" applyFill="1" applyBorder="1" applyAlignment="1">
      <alignment horizontal="center"/>
    </xf>
    <xf numFmtId="165" fontId="0" fillId="11" borderId="142" xfId="0" applyNumberFormat="1" applyFill="1" applyBorder="1" applyAlignment="1">
      <alignment horizontal="center"/>
    </xf>
    <xf numFmtId="165" fontId="0" fillId="11" borderId="143" xfId="0" applyNumberFormat="1" applyFill="1" applyBorder="1" applyAlignment="1">
      <alignment horizontal="center"/>
    </xf>
    <xf numFmtId="165" fontId="0" fillId="11" borderId="144" xfId="0" applyNumberFormat="1" applyFill="1" applyBorder="1" applyAlignment="1">
      <alignment horizontal="center"/>
    </xf>
    <xf numFmtId="165" fontId="0" fillId="11" borderId="145" xfId="0" applyNumberFormat="1" applyFill="1" applyBorder="1" applyAlignment="1">
      <alignment horizontal="center"/>
    </xf>
    <xf numFmtId="0" fontId="0" fillId="0" borderId="146" xfId="0" applyBorder="1" applyAlignment="1">
      <alignment horizontal="center"/>
    </xf>
    <xf numFmtId="0" fontId="0" fillId="0" borderId="147" xfId="0" applyBorder="1" applyAlignment="1">
      <alignment horizontal="center"/>
    </xf>
    <xf numFmtId="0" fontId="0" fillId="0" borderId="148" xfId="0" applyBorder="1" applyAlignment="1">
      <alignment horizontal="center"/>
    </xf>
    <xf numFmtId="165" fontId="21" fillId="14" borderId="122" xfId="0" applyNumberFormat="1" applyFont="1" applyFill="1" applyBorder="1" applyAlignment="1">
      <alignment horizontal="center"/>
    </xf>
    <xf numFmtId="165" fontId="21" fillId="14" borderId="124" xfId="0" applyNumberFormat="1" applyFont="1" applyFill="1" applyBorder="1" applyAlignment="1">
      <alignment horizontal="center"/>
    </xf>
    <xf numFmtId="0" fontId="21" fillId="14" borderId="138" xfId="0" applyFont="1" applyFill="1" applyBorder="1"/>
    <xf numFmtId="165" fontId="21" fillId="14" borderId="127" xfId="0" applyNumberFormat="1" applyFont="1" applyFill="1" applyBorder="1" applyAlignment="1">
      <alignment horizontal="center"/>
    </xf>
    <xf numFmtId="165" fontId="26" fillId="0" borderId="146" xfId="0" applyNumberFormat="1" applyFont="1" applyBorder="1" applyAlignment="1">
      <alignment horizontal="center"/>
    </xf>
    <xf numFmtId="165" fontId="26" fillId="0" borderId="147" xfId="0" applyNumberFormat="1" applyFont="1" applyBorder="1" applyAlignment="1">
      <alignment horizontal="center"/>
    </xf>
    <xf numFmtId="165" fontId="26" fillId="0" borderId="148" xfId="0" applyNumberFormat="1" applyFont="1" applyBorder="1" applyAlignment="1">
      <alignment horizontal="center"/>
    </xf>
    <xf numFmtId="165" fontId="21" fillId="14" borderId="140" xfId="0" applyNumberFormat="1" applyFont="1" applyFill="1" applyBorder="1" applyAlignment="1">
      <alignment horizontal="center"/>
    </xf>
    <xf numFmtId="0" fontId="0" fillId="12" borderId="138" xfId="0" applyFill="1" applyBorder="1"/>
    <xf numFmtId="0" fontId="0" fillId="12" borderId="121" xfId="0" applyFill="1" applyBorder="1"/>
    <xf numFmtId="165" fontId="0" fillId="12" borderId="120" xfId="0" applyNumberFormat="1" applyFill="1" applyBorder="1"/>
    <xf numFmtId="165" fontId="0" fillId="12" borderId="125" xfId="0" applyNumberFormat="1" applyFill="1" applyBorder="1"/>
    <xf numFmtId="165" fontId="0" fillId="12" borderId="126" xfId="0" applyNumberFormat="1" applyFill="1" applyBorder="1"/>
    <xf numFmtId="165" fontId="0" fillId="12" borderId="127" xfId="0" applyNumberFormat="1" applyFill="1" applyBorder="1"/>
    <xf numFmtId="165" fontId="0" fillId="12" borderId="128" xfId="0" applyNumberFormat="1" applyFill="1" applyBorder="1"/>
    <xf numFmtId="165" fontId="0" fillId="12" borderId="129" xfId="0" applyNumberFormat="1" applyFill="1" applyBorder="1"/>
    <xf numFmtId="165" fontId="0" fillId="12" borderId="140" xfId="0" applyNumberFormat="1" applyFill="1" applyBorder="1"/>
    <xf numFmtId="165" fontId="0" fillId="12" borderId="141" xfId="0" applyNumberFormat="1" applyFill="1" applyBorder="1"/>
    <xf numFmtId="165" fontId="0" fillId="12" borderId="142" xfId="0" applyNumberFormat="1" applyFill="1" applyBorder="1"/>
    <xf numFmtId="0" fontId="4" fillId="3" borderId="154" xfId="0" applyFont="1" applyFill="1" applyBorder="1" applyAlignment="1">
      <alignment horizontal="center" wrapText="1" readingOrder="1"/>
    </xf>
    <xf numFmtId="0" fontId="4" fillId="3" borderId="107" xfId="0" applyFont="1" applyFill="1" applyBorder="1" applyAlignment="1">
      <alignment horizontal="center" wrapText="1" readingOrder="1"/>
    </xf>
    <xf numFmtId="0" fontId="4" fillId="3" borderId="111" xfId="0" applyFont="1" applyFill="1" applyBorder="1" applyAlignment="1">
      <alignment horizontal="center" wrapText="1" readingOrder="1"/>
    </xf>
    <xf numFmtId="0" fontId="19" fillId="12" borderId="125" xfId="0" applyFont="1" applyFill="1" applyBorder="1" applyAlignment="1">
      <alignment horizontal="center" wrapText="1" readingOrder="1"/>
    </xf>
    <xf numFmtId="0" fontId="19" fillId="12" borderId="126" xfId="0" applyFont="1" applyFill="1" applyBorder="1" applyAlignment="1">
      <alignment horizontal="center" wrapText="1" readingOrder="1"/>
    </xf>
    <xf numFmtId="0" fontId="18" fillId="9" borderId="125" xfId="0" applyFont="1" applyFill="1" applyBorder="1" applyAlignment="1">
      <alignment wrapText="1"/>
    </xf>
    <xf numFmtId="0" fontId="18" fillId="9" borderId="126" xfId="0" applyFont="1" applyFill="1" applyBorder="1" applyAlignment="1">
      <alignment wrapText="1"/>
    </xf>
    <xf numFmtId="0" fontId="11" fillId="0" borderId="47" xfId="4" applyFont="1" applyBorder="1" applyAlignment="1">
      <alignment horizontal="center" wrapText="1"/>
    </xf>
    <xf numFmtId="0" fontId="11" fillId="0" borderId="50" xfId="4" applyFont="1" applyBorder="1" applyAlignment="1">
      <alignment horizontal="center" wrapText="1"/>
    </xf>
    <xf numFmtId="0" fontId="11" fillId="0" borderId="48" xfId="4" applyFont="1" applyBorder="1" applyAlignment="1">
      <alignment horizontal="center" wrapText="1"/>
    </xf>
    <xf numFmtId="0" fontId="11" fillId="0" borderId="44" xfId="4" applyFont="1" applyBorder="1" applyAlignment="1">
      <alignment horizontal="center" wrapText="1"/>
    </xf>
    <xf numFmtId="0" fontId="11" fillId="0" borderId="45" xfId="4" applyFont="1" applyBorder="1" applyAlignment="1">
      <alignment horizontal="center" wrapText="1"/>
    </xf>
    <xf numFmtId="0" fontId="11" fillId="0" borderId="46" xfId="4" applyFont="1" applyBorder="1" applyAlignment="1">
      <alignment horizontal="center" wrapText="1"/>
    </xf>
    <xf numFmtId="0" fontId="11" fillId="0" borderId="27" xfId="4" applyFont="1" applyBorder="1" applyAlignment="1">
      <alignment horizontal="left" vertical="top"/>
    </xf>
    <xf numFmtId="165" fontId="11" fillId="0" borderId="28" xfId="4" applyNumberFormat="1" applyFont="1" applyBorder="1" applyAlignment="1">
      <alignment horizontal="right" vertical="top"/>
    </xf>
    <xf numFmtId="165" fontId="11" fillId="0" borderId="29" xfId="4" applyNumberFormat="1" applyFont="1" applyBorder="1" applyAlignment="1">
      <alignment horizontal="right" vertical="top"/>
    </xf>
    <xf numFmtId="165" fontId="11" fillId="0" borderId="30" xfId="4" applyNumberFormat="1" applyFont="1" applyBorder="1" applyAlignment="1">
      <alignment horizontal="right" vertical="top"/>
    </xf>
    <xf numFmtId="0" fontId="11" fillId="0" borderId="32" xfId="4" applyFont="1" applyBorder="1" applyAlignment="1">
      <alignment horizontal="left" vertical="top"/>
    </xf>
    <xf numFmtId="165" fontId="11" fillId="0" borderId="33" xfId="4" applyNumberFormat="1" applyFont="1" applyBorder="1" applyAlignment="1">
      <alignment horizontal="right" vertical="top"/>
    </xf>
    <xf numFmtId="165" fontId="11" fillId="0" borderId="34" xfId="4" applyNumberFormat="1" applyFont="1" applyBorder="1" applyAlignment="1">
      <alignment horizontal="right" vertical="top"/>
    </xf>
    <xf numFmtId="165" fontId="11" fillId="0" borderId="35" xfId="4" applyNumberFormat="1" applyFont="1" applyBorder="1" applyAlignment="1">
      <alignment horizontal="right" vertical="top"/>
    </xf>
    <xf numFmtId="0" fontId="11" fillId="0" borderId="37" xfId="4" applyFont="1" applyBorder="1" applyAlignment="1">
      <alignment horizontal="left" vertical="top"/>
    </xf>
    <xf numFmtId="165" fontId="11" fillId="0" borderId="38" xfId="4" applyNumberFormat="1" applyFont="1" applyBorder="1" applyAlignment="1">
      <alignment horizontal="right" vertical="top"/>
    </xf>
    <xf numFmtId="165" fontId="11" fillId="0" borderId="39" xfId="4" applyNumberFormat="1" applyFont="1" applyBorder="1" applyAlignment="1">
      <alignment horizontal="right" vertical="top"/>
    </xf>
    <xf numFmtId="165" fontId="11" fillId="0" borderId="40" xfId="4" applyNumberFormat="1" applyFont="1" applyBorder="1" applyAlignment="1">
      <alignment horizontal="right" vertical="top"/>
    </xf>
    <xf numFmtId="0" fontId="10" fillId="0" borderId="0" xfId="5"/>
    <xf numFmtId="0" fontId="11" fillId="0" borderId="47" xfId="5" applyFont="1" applyBorder="1" applyAlignment="1">
      <alignment horizontal="center" wrapText="1"/>
    </xf>
    <xf numFmtId="0" fontId="11" fillId="0" borderId="50" xfId="5" applyFont="1" applyBorder="1" applyAlignment="1">
      <alignment horizontal="center" wrapText="1"/>
    </xf>
    <xf numFmtId="0" fontId="11" fillId="0" borderId="48" xfId="5" applyFont="1" applyBorder="1" applyAlignment="1">
      <alignment horizontal="center" wrapText="1"/>
    </xf>
    <xf numFmtId="0" fontId="11" fillId="0" borderId="44" xfId="5" applyFont="1" applyBorder="1" applyAlignment="1">
      <alignment horizontal="center" wrapText="1"/>
    </xf>
    <xf numFmtId="0" fontId="11" fillId="0" borderId="45" xfId="5" applyFont="1" applyBorder="1" applyAlignment="1">
      <alignment horizontal="center" wrapText="1"/>
    </xf>
    <xf numFmtId="0" fontId="11" fillId="0" borderId="46" xfId="5" applyFont="1" applyBorder="1" applyAlignment="1">
      <alignment horizontal="center" wrapText="1"/>
    </xf>
    <xf numFmtId="0" fontId="11" fillId="0" borderId="27" xfId="5" applyFont="1" applyBorder="1" applyAlignment="1">
      <alignment horizontal="left" vertical="top"/>
    </xf>
    <xf numFmtId="165" fontId="11" fillId="0" borderId="28" xfId="5" applyNumberFormat="1" applyFont="1" applyBorder="1" applyAlignment="1">
      <alignment horizontal="right" vertical="top"/>
    </xf>
    <xf numFmtId="165" fontId="11" fillId="0" borderId="29" xfId="5" applyNumberFormat="1" applyFont="1" applyBorder="1" applyAlignment="1">
      <alignment horizontal="right" vertical="top"/>
    </xf>
    <xf numFmtId="165" fontId="11" fillId="0" borderId="30" xfId="5" applyNumberFormat="1" applyFont="1" applyBorder="1" applyAlignment="1">
      <alignment horizontal="right" vertical="top"/>
    </xf>
    <xf numFmtId="0" fontId="11" fillId="0" borderId="32" xfId="5" applyFont="1" applyBorder="1" applyAlignment="1">
      <alignment horizontal="left" vertical="top"/>
    </xf>
    <xf numFmtId="165" fontId="11" fillId="0" borderId="33" xfId="5" applyNumberFormat="1" applyFont="1" applyBorder="1" applyAlignment="1">
      <alignment horizontal="right" vertical="top"/>
    </xf>
    <xf numFmtId="165" fontId="11" fillId="0" borderId="34" xfId="5" applyNumberFormat="1" applyFont="1" applyBorder="1" applyAlignment="1">
      <alignment horizontal="right" vertical="top"/>
    </xf>
    <xf numFmtId="165" fontId="11" fillId="0" borderId="35" xfId="5" applyNumberFormat="1" applyFont="1" applyBorder="1" applyAlignment="1">
      <alignment horizontal="right" vertical="top"/>
    </xf>
    <xf numFmtId="0" fontId="11" fillId="0" borderId="37" xfId="5" applyFont="1" applyBorder="1" applyAlignment="1">
      <alignment horizontal="left" vertical="top"/>
    </xf>
    <xf numFmtId="165" fontId="11" fillId="0" borderId="38" xfId="5" applyNumberFormat="1" applyFont="1" applyBorder="1" applyAlignment="1">
      <alignment horizontal="right" vertical="top"/>
    </xf>
    <xf numFmtId="165" fontId="11" fillId="0" borderId="39" xfId="5" applyNumberFormat="1" applyFont="1" applyBorder="1" applyAlignment="1">
      <alignment horizontal="right" vertical="top"/>
    </xf>
    <xf numFmtId="165" fontId="11" fillId="0" borderId="40" xfId="5" applyNumberFormat="1" applyFont="1" applyBorder="1" applyAlignment="1">
      <alignment horizontal="right" vertical="top"/>
    </xf>
    <xf numFmtId="165" fontId="21" fillId="0" borderId="0" xfId="0" applyNumberFormat="1" applyFont="1"/>
    <xf numFmtId="168" fontId="21" fillId="14" borderId="140" xfId="0" applyNumberFormat="1" applyFont="1" applyFill="1" applyBorder="1" applyAlignment="1">
      <alignment horizontal="center"/>
    </xf>
    <xf numFmtId="165" fontId="31" fillId="0" borderId="0" xfId="0" applyNumberFormat="1" applyFont="1"/>
    <xf numFmtId="0" fontId="0" fillId="0" borderId="143" xfId="0" applyBorder="1"/>
    <xf numFmtId="0" fontId="0" fillId="0" borderId="144" xfId="0" applyBorder="1"/>
    <xf numFmtId="0" fontId="0" fillId="0" borderId="149" xfId="0" applyBorder="1"/>
    <xf numFmtId="0" fontId="0" fillId="0" borderId="145" xfId="0" applyBorder="1"/>
    <xf numFmtId="0" fontId="0" fillId="0" borderId="113" xfId="0" applyBorder="1"/>
    <xf numFmtId="165" fontId="0" fillId="0" borderId="143" xfId="0" applyNumberFormat="1" applyBorder="1"/>
    <xf numFmtId="165" fontId="0" fillId="0" borderId="144" xfId="0" applyNumberFormat="1" applyBorder="1"/>
    <xf numFmtId="165" fontId="0" fillId="0" borderId="149" xfId="0" applyNumberFormat="1" applyBorder="1"/>
    <xf numFmtId="165" fontId="0" fillId="0" borderId="145" xfId="0" applyNumberFormat="1" applyBorder="1"/>
    <xf numFmtId="165" fontId="0" fillId="11" borderId="87" xfId="0" applyNumberFormat="1" applyFill="1" applyBorder="1" applyAlignment="1">
      <alignment horizontal="center"/>
    </xf>
    <xf numFmtId="165" fontId="0" fillId="12" borderId="155" xfId="0" applyNumberFormat="1" applyFill="1" applyBorder="1" applyAlignment="1">
      <alignment horizontal="center"/>
    </xf>
    <xf numFmtId="165" fontId="0" fillId="12" borderId="87" xfId="0" applyNumberFormat="1" applyFill="1" applyBorder="1" applyAlignment="1">
      <alignment horizontal="center"/>
    </xf>
    <xf numFmtId="165" fontId="0" fillId="12" borderId="87" xfId="0" applyNumberFormat="1" applyFill="1" applyBorder="1" applyAlignment="1">
      <alignment horizontal="center" vertical="center"/>
    </xf>
    <xf numFmtId="165" fontId="0" fillId="12" borderId="87" xfId="0" applyNumberFormat="1" applyFill="1" applyBorder="1"/>
    <xf numFmtId="165" fontId="0" fillId="12" borderId="57" xfId="0" applyNumberFormat="1" applyFill="1" applyBorder="1"/>
    <xf numFmtId="0" fontId="0" fillId="12" borderId="136" xfId="0" applyFill="1" applyBorder="1"/>
    <xf numFmtId="0" fontId="0" fillId="11" borderId="137" xfId="0" applyFill="1" applyBorder="1"/>
    <xf numFmtId="165" fontId="0" fillId="11" borderId="140" xfId="0" applyNumberFormat="1" applyFill="1" applyBorder="1"/>
    <xf numFmtId="165" fontId="0" fillId="11" borderId="141" xfId="0" applyNumberFormat="1" applyFill="1" applyBorder="1"/>
    <xf numFmtId="165" fontId="0" fillId="11" borderId="142" xfId="0" applyNumberFormat="1" applyFill="1" applyBorder="1"/>
    <xf numFmtId="0" fontId="0" fillId="11" borderId="138" xfId="0" applyFill="1" applyBorder="1"/>
    <xf numFmtId="165" fontId="0" fillId="11" borderId="127" xfId="0" applyNumberFormat="1" applyFill="1" applyBorder="1"/>
    <xf numFmtId="165" fontId="0" fillId="11" borderId="128" xfId="0" applyNumberFormat="1" applyFill="1" applyBorder="1"/>
    <xf numFmtId="165" fontId="0" fillId="11" borderId="129" xfId="0" applyNumberFormat="1" applyFill="1" applyBorder="1"/>
    <xf numFmtId="0" fontId="0" fillId="11" borderId="136" xfId="0" applyFill="1" applyBorder="1"/>
    <xf numFmtId="0" fontId="21" fillId="0" borderId="150" xfId="0" applyFont="1" applyBorder="1" applyAlignment="1">
      <alignment horizontal="center"/>
    </xf>
    <xf numFmtId="0" fontId="21" fillId="0" borderId="151" xfId="0" applyFont="1" applyBorder="1" applyAlignment="1">
      <alignment horizontal="center"/>
    </xf>
    <xf numFmtId="0" fontId="21" fillId="0" borderId="152" xfId="0" applyFont="1" applyBorder="1" applyAlignment="1">
      <alignment horizontal="center"/>
    </xf>
    <xf numFmtId="0" fontId="21" fillId="0" borderId="153" xfId="0" applyFont="1" applyBorder="1" applyAlignment="1">
      <alignment horizontal="center"/>
    </xf>
    <xf numFmtId="0" fontId="0" fillId="0" borderId="156" xfId="0" applyBorder="1"/>
    <xf numFmtId="0" fontId="0" fillId="12" borderId="157" xfId="0" applyFill="1" applyBorder="1"/>
    <xf numFmtId="0" fontId="0" fillId="12" borderId="158" xfId="0" applyFill="1" applyBorder="1"/>
    <xf numFmtId="0" fontId="0" fillId="11" borderId="158" xfId="0" applyFill="1" applyBorder="1"/>
    <xf numFmtId="0" fontId="0" fillId="12" borderId="159" xfId="0" applyFill="1" applyBorder="1"/>
    <xf numFmtId="165" fontId="0" fillId="12" borderId="160" xfId="0" applyNumberFormat="1" applyFill="1" applyBorder="1" applyAlignment="1">
      <alignment horizontal="center"/>
    </xf>
    <xf numFmtId="165" fontId="0" fillId="12" borderId="161" xfId="0" applyNumberFormat="1" applyFill="1" applyBorder="1" applyAlignment="1">
      <alignment horizontal="center"/>
    </xf>
    <xf numFmtId="165" fontId="0" fillId="11" borderId="161" xfId="0" applyNumberFormat="1" applyFill="1" applyBorder="1" applyAlignment="1">
      <alignment horizontal="center"/>
    </xf>
    <xf numFmtId="165" fontId="0" fillId="12" borderId="161" xfId="0" applyNumberFormat="1" applyFill="1" applyBorder="1" applyAlignment="1">
      <alignment horizontal="center" vertical="center"/>
    </xf>
    <xf numFmtId="165" fontId="0" fillId="12" borderId="161" xfId="0" applyNumberFormat="1" applyFill="1" applyBorder="1"/>
    <xf numFmtId="165" fontId="0" fillId="12" borderId="162" xfId="0" applyNumberFormat="1" applyFill="1" applyBorder="1"/>
    <xf numFmtId="165" fontId="0" fillId="12" borderId="163" xfId="0" applyNumberFormat="1" applyFill="1" applyBorder="1" applyAlignment="1">
      <alignment horizontal="center"/>
    </xf>
    <xf numFmtId="165" fontId="0" fillId="12" borderId="164" xfId="0" applyNumberFormat="1" applyFill="1" applyBorder="1" applyAlignment="1">
      <alignment horizontal="center"/>
    </xf>
    <xf numFmtId="165" fontId="0" fillId="11" borderId="164" xfId="0" applyNumberFormat="1" applyFill="1" applyBorder="1" applyAlignment="1">
      <alignment horizontal="center"/>
    </xf>
    <xf numFmtId="165" fontId="0" fillId="12" borderId="164" xfId="0" applyNumberFormat="1" applyFill="1" applyBorder="1" applyAlignment="1">
      <alignment horizontal="center" vertical="center"/>
    </xf>
    <xf numFmtId="165" fontId="0" fillId="12" borderId="164" xfId="0" applyNumberFormat="1" applyFill="1" applyBorder="1"/>
    <xf numFmtId="165" fontId="0" fillId="12" borderId="165" xfId="0" applyNumberFormat="1" applyFill="1" applyBorder="1"/>
    <xf numFmtId="165" fontId="0" fillId="12" borderId="165" xfId="0" applyNumberFormat="1" applyFill="1" applyBorder="1" applyAlignment="1">
      <alignment horizontal="center" vertical="center"/>
    </xf>
    <xf numFmtId="165" fontId="0" fillId="11" borderId="166" xfId="0" applyNumberFormat="1" applyFill="1" applyBorder="1"/>
    <xf numFmtId="165" fontId="0" fillId="12" borderId="130" xfId="0" applyNumberFormat="1" applyFill="1" applyBorder="1"/>
    <xf numFmtId="165" fontId="0" fillId="12" borderId="131" xfId="0" applyNumberFormat="1" applyFill="1" applyBorder="1"/>
    <xf numFmtId="0" fontId="0" fillId="11" borderId="167" xfId="0" applyFill="1" applyBorder="1"/>
    <xf numFmtId="165" fontId="0" fillId="11" borderId="163" xfId="0" applyNumberFormat="1" applyFill="1" applyBorder="1"/>
    <xf numFmtId="165" fontId="0" fillId="11" borderId="168" xfId="0" applyNumberFormat="1" applyFill="1" applyBorder="1"/>
    <xf numFmtId="165" fontId="0" fillId="12" borderId="169" xfId="0" applyNumberFormat="1" applyFill="1" applyBorder="1"/>
    <xf numFmtId="165" fontId="0" fillId="12" borderId="170" xfId="0" applyNumberFormat="1" applyFill="1" applyBorder="1"/>
    <xf numFmtId="168" fontId="0" fillId="11" borderId="163" xfId="0" applyNumberFormat="1" applyFill="1" applyBorder="1"/>
    <xf numFmtId="168" fontId="0" fillId="12" borderId="164" xfId="0" applyNumberFormat="1" applyFill="1" applyBorder="1"/>
    <xf numFmtId="168" fontId="0" fillId="12" borderId="165" xfId="0" applyNumberFormat="1" applyFill="1" applyBorder="1"/>
    <xf numFmtId="3" fontId="13" fillId="11" borderId="86" xfId="0" applyNumberFormat="1" applyFont="1" applyFill="1" applyBorder="1" applyAlignment="1">
      <alignment horizontal="center" wrapText="1" readingOrder="1"/>
    </xf>
    <xf numFmtId="3" fontId="13" fillId="17" borderId="86" xfId="0" applyNumberFormat="1" applyFont="1" applyFill="1" applyBorder="1" applyAlignment="1">
      <alignment horizontal="center" wrapText="1" readingOrder="1"/>
    </xf>
    <xf numFmtId="3" fontId="13" fillId="0" borderId="86" xfId="0" applyNumberFormat="1" applyFont="1" applyBorder="1" applyAlignment="1">
      <alignment horizontal="center" wrapText="1" readingOrder="1"/>
    </xf>
    <xf numFmtId="3" fontId="13" fillId="11" borderId="171" xfId="0" applyNumberFormat="1" applyFont="1" applyFill="1" applyBorder="1" applyAlignment="1">
      <alignment horizontal="center" wrapText="1" readingOrder="1"/>
    </xf>
    <xf numFmtId="3" fontId="13" fillId="17" borderId="171" xfId="0" applyNumberFormat="1" applyFont="1" applyFill="1" applyBorder="1" applyAlignment="1">
      <alignment horizontal="center" wrapText="1" readingOrder="1"/>
    </xf>
    <xf numFmtId="3" fontId="13" fillId="0" borderId="171" xfId="0" applyNumberFormat="1" applyFont="1" applyBorder="1" applyAlignment="1">
      <alignment horizontal="center" wrapText="1" readingOrder="1"/>
    </xf>
    <xf numFmtId="0" fontId="4" fillId="18" borderId="155" xfId="0" applyFont="1" applyFill="1" applyBorder="1" applyAlignment="1">
      <alignment horizontal="center" wrapText="1" readingOrder="1"/>
    </xf>
    <xf numFmtId="0" fontId="13" fillId="11" borderId="56" xfId="0" applyFont="1" applyFill="1" applyBorder="1" applyAlignment="1">
      <alignment horizontal="center" wrapText="1" readingOrder="1"/>
    </xf>
    <xf numFmtId="0" fontId="13" fillId="17" borderId="56" xfId="0" applyFont="1" applyFill="1" applyBorder="1" applyAlignment="1">
      <alignment horizontal="center" wrapText="1" readingOrder="1"/>
    </xf>
    <xf numFmtId="0" fontId="13" fillId="0" borderId="56" xfId="0" applyFont="1" applyBorder="1" applyAlignment="1">
      <alignment horizontal="center" wrapText="1" readingOrder="1"/>
    </xf>
    <xf numFmtId="0" fontId="4" fillId="18" borderId="57" xfId="0" applyFont="1" applyFill="1" applyBorder="1" applyAlignment="1">
      <alignment horizontal="center" wrapText="1" readingOrder="1"/>
    </xf>
    <xf numFmtId="0" fontId="18" fillId="0" borderId="157" xfId="0" applyFont="1" applyBorder="1" applyAlignment="1">
      <alignment wrapText="1"/>
    </xf>
    <xf numFmtId="0" fontId="18" fillId="0" borderId="159" xfId="0" applyFont="1" applyBorder="1" applyAlignment="1">
      <alignment wrapText="1"/>
    </xf>
    <xf numFmtId="0" fontId="19" fillId="0" borderId="172" xfId="0" applyFont="1" applyBorder="1" applyAlignment="1">
      <alignment horizontal="left" wrapText="1" readingOrder="1"/>
    </xf>
    <xf numFmtId="0" fontId="19" fillId="0" borderId="173" xfId="0" applyFont="1" applyBorder="1" applyAlignment="1">
      <alignment horizontal="left" wrapText="1" readingOrder="1"/>
    </xf>
    <xf numFmtId="0" fontId="18" fillId="0" borderId="173" xfId="0" applyFont="1" applyBorder="1" applyAlignment="1">
      <alignment horizontal="right" wrapText="1" readingOrder="1"/>
    </xf>
    <xf numFmtId="0" fontId="18" fillId="0" borderId="173" xfId="0" applyFont="1" applyBorder="1" applyAlignment="1">
      <alignment wrapText="1"/>
    </xf>
    <xf numFmtId="0" fontId="13" fillId="11" borderId="55" xfId="0" applyFont="1" applyFill="1" applyBorder="1" applyAlignment="1">
      <alignment horizontal="center" wrapText="1" readingOrder="1"/>
    </xf>
    <xf numFmtId="3" fontId="13" fillId="11" borderId="174" xfId="0" applyNumberFormat="1" applyFont="1" applyFill="1" applyBorder="1" applyAlignment="1">
      <alignment horizontal="center" wrapText="1" readingOrder="1"/>
    </xf>
    <xf numFmtId="3" fontId="13" fillId="11" borderId="85" xfId="0" applyNumberFormat="1" applyFont="1" applyFill="1" applyBorder="1" applyAlignment="1">
      <alignment horizontal="center" wrapText="1" readingOrder="1"/>
    </xf>
    <xf numFmtId="3" fontId="13" fillId="11" borderId="55" xfId="0" applyNumberFormat="1" applyFont="1" applyFill="1" applyBorder="1" applyAlignment="1">
      <alignment horizontal="center" wrapText="1" readingOrder="1"/>
    </xf>
    <xf numFmtId="3" fontId="13" fillId="11" borderId="56" xfId="0" applyNumberFormat="1" applyFont="1" applyFill="1" applyBorder="1" applyAlignment="1">
      <alignment horizontal="center" wrapText="1" readingOrder="1"/>
    </xf>
    <xf numFmtId="3" fontId="13" fillId="11" borderId="57" xfId="0" applyNumberFormat="1" applyFont="1" applyFill="1" applyBorder="1" applyAlignment="1">
      <alignment horizontal="center" wrapText="1" readingOrder="1"/>
    </xf>
    <xf numFmtId="0" fontId="13" fillId="11" borderId="177" xfId="0" applyFont="1" applyFill="1" applyBorder="1" applyAlignment="1">
      <alignment horizontal="center" wrapText="1" readingOrder="1"/>
    </xf>
    <xf numFmtId="3" fontId="13" fillId="11" borderId="178" xfId="0" applyNumberFormat="1" applyFont="1" applyFill="1" applyBorder="1" applyAlignment="1">
      <alignment horizontal="center" wrapText="1" readingOrder="1"/>
    </xf>
    <xf numFmtId="3" fontId="13" fillId="11" borderId="179" xfId="0" applyNumberFormat="1" applyFont="1" applyFill="1" applyBorder="1" applyAlignment="1">
      <alignment horizontal="center" wrapText="1" readingOrder="1"/>
    </xf>
    <xf numFmtId="0" fontId="13" fillId="17" borderId="55" xfId="0" applyFont="1" applyFill="1" applyBorder="1" applyAlignment="1">
      <alignment horizontal="center" wrapText="1" readingOrder="1"/>
    </xf>
    <xf numFmtId="0" fontId="13" fillId="17" borderId="57" xfId="0" applyFont="1" applyFill="1" applyBorder="1" applyAlignment="1">
      <alignment horizontal="center" wrapText="1" readingOrder="1"/>
    </xf>
    <xf numFmtId="3" fontId="13" fillId="17" borderId="174" xfId="0" applyNumberFormat="1" applyFont="1" applyFill="1" applyBorder="1" applyAlignment="1">
      <alignment horizontal="center" wrapText="1" readingOrder="1"/>
    </xf>
    <xf numFmtId="3" fontId="13" fillId="17" borderId="175" xfId="0" applyNumberFormat="1" applyFont="1" applyFill="1" applyBorder="1" applyAlignment="1">
      <alignment horizontal="center" wrapText="1" readingOrder="1"/>
    </xf>
    <xf numFmtId="3" fontId="13" fillId="17" borderId="85" xfId="0" applyNumberFormat="1" applyFont="1" applyFill="1" applyBorder="1" applyAlignment="1">
      <alignment horizontal="center" wrapText="1" readingOrder="1"/>
    </xf>
    <xf numFmtId="3" fontId="13" fillId="17" borderId="87" xfId="0" applyNumberFormat="1" applyFont="1" applyFill="1" applyBorder="1" applyAlignment="1">
      <alignment horizontal="center" wrapText="1" readingOrder="1"/>
    </xf>
    <xf numFmtId="3" fontId="19" fillId="17" borderId="55" xfId="0" applyNumberFormat="1" applyFont="1" applyFill="1" applyBorder="1" applyAlignment="1">
      <alignment horizontal="center" wrapText="1" readingOrder="1"/>
    </xf>
    <xf numFmtId="3" fontId="19" fillId="17" borderId="56" xfId="0" applyNumberFormat="1" applyFont="1" applyFill="1" applyBorder="1" applyAlignment="1">
      <alignment horizontal="center" wrapText="1" readingOrder="1"/>
    </xf>
    <xf numFmtId="3" fontId="19" fillId="17" borderId="57" xfId="0" applyNumberFormat="1" applyFont="1" applyFill="1" applyBorder="1" applyAlignment="1">
      <alignment horizontal="center" wrapText="1" readingOrder="1"/>
    </xf>
    <xf numFmtId="0" fontId="13" fillId="0" borderId="55" xfId="0" applyFont="1" applyBorder="1" applyAlignment="1">
      <alignment horizontal="center" wrapText="1" readingOrder="1"/>
    </xf>
    <xf numFmtId="0" fontId="13" fillId="0" borderId="57" xfId="0" applyFont="1" applyBorder="1" applyAlignment="1">
      <alignment horizontal="center" wrapText="1" readingOrder="1"/>
    </xf>
    <xf numFmtId="3" fontId="13" fillId="0" borderId="174" xfId="0" applyNumberFormat="1" applyFont="1" applyBorder="1" applyAlignment="1">
      <alignment horizontal="center" wrapText="1" readingOrder="1"/>
    </xf>
    <xf numFmtId="3" fontId="13" fillId="0" borderId="175" xfId="0" applyNumberFormat="1" applyFont="1" applyBorder="1" applyAlignment="1">
      <alignment horizontal="center" wrapText="1" readingOrder="1"/>
    </xf>
    <xf numFmtId="3" fontId="13" fillId="0" borderId="85" xfId="0" applyNumberFormat="1" applyFont="1" applyBorder="1" applyAlignment="1">
      <alignment horizontal="center" wrapText="1" readingOrder="1"/>
    </xf>
    <xf numFmtId="3" fontId="13" fillId="0" borderId="87" xfId="0" applyNumberFormat="1" applyFont="1" applyBorder="1" applyAlignment="1">
      <alignment horizontal="center" wrapText="1" readingOrder="1"/>
    </xf>
    <xf numFmtId="3" fontId="13" fillId="0" borderId="55" xfId="0" applyNumberFormat="1" applyFont="1" applyBorder="1" applyAlignment="1">
      <alignment horizontal="center" wrapText="1" readingOrder="1"/>
    </xf>
    <xf numFmtId="3" fontId="13" fillId="0" borderId="56" xfId="0" applyNumberFormat="1" applyFont="1" applyBorder="1" applyAlignment="1">
      <alignment horizontal="center" wrapText="1" readingOrder="1"/>
    </xf>
    <xf numFmtId="3" fontId="13" fillId="0" borderId="57" xfId="0" applyNumberFormat="1" applyFont="1" applyBorder="1" applyAlignment="1">
      <alignment horizontal="center" wrapText="1" readingOrder="1"/>
    </xf>
    <xf numFmtId="0" fontId="4" fillId="18" borderId="52" xfId="0" applyFont="1" applyFill="1" applyBorder="1" applyAlignment="1">
      <alignment horizontal="center" wrapText="1" readingOrder="1"/>
    </xf>
    <xf numFmtId="0" fontId="4" fillId="18" borderId="55" xfId="0" applyFont="1" applyFill="1" applyBorder="1" applyAlignment="1">
      <alignment horizontal="center" wrapText="1" readingOrder="1"/>
    </xf>
    <xf numFmtId="3" fontId="4" fillId="18" borderId="174" xfId="0" applyNumberFormat="1" applyFont="1" applyFill="1" applyBorder="1" applyAlignment="1">
      <alignment horizontal="center" wrapText="1" readingOrder="1"/>
    </xf>
    <xf numFmtId="3" fontId="4" fillId="18" borderId="175" xfId="0" applyNumberFormat="1" applyFont="1" applyFill="1" applyBorder="1" applyAlignment="1">
      <alignment horizontal="center" wrapText="1" readingOrder="1"/>
    </xf>
    <xf numFmtId="3" fontId="4" fillId="18" borderId="85" xfId="0" applyNumberFormat="1" applyFont="1" applyFill="1" applyBorder="1" applyAlignment="1">
      <alignment horizontal="center" wrapText="1" readingOrder="1"/>
    </xf>
    <xf numFmtId="3" fontId="4" fillId="18" borderId="87" xfId="0" applyNumberFormat="1" applyFont="1" applyFill="1" applyBorder="1" applyAlignment="1">
      <alignment horizontal="center" wrapText="1" readingOrder="1"/>
    </xf>
    <xf numFmtId="3" fontId="4" fillId="18" borderId="55" xfId="0" applyNumberFormat="1" applyFont="1" applyFill="1" applyBorder="1" applyAlignment="1">
      <alignment horizontal="center" wrapText="1" readingOrder="1"/>
    </xf>
    <xf numFmtId="3" fontId="4" fillId="18" borderId="57" xfId="0" applyNumberFormat="1" applyFont="1" applyFill="1" applyBorder="1" applyAlignment="1">
      <alignment horizontal="center" wrapText="1" readingOrder="1"/>
    </xf>
    <xf numFmtId="0" fontId="19" fillId="0" borderId="180" xfId="0" applyFont="1" applyBorder="1" applyAlignment="1">
      <alignment horizontal="left" wrapText="1" readingOrder="1"/>
    </xf>
    <xf numFmtId="3" fontId="13" fillId="11" borderId="181" xfId="0" applyNumberFormat="1" applyFont="1" applyFill="1" applyBorder="1" applyAlignment="1">
      <alignment horizontal="center" wrapText="1" readingOrder="1"/>
    </xf>
    <xf numFmtId="3" fontId="13" fillId="11" borderId="182" xfId="0" applyNumberFormat="1" applyFont="1" applyFill="1" applyBorder="1" applyAlignment="1">
      <alignment horizontal="center" wrapText="1" readingOrder="1"/>
    </xf>
    <xf numFmtId="3" fontId="13" fillId="11" borderId="183" xfId="0" applyNumberFormat="1" applyFont="1" applyFill="1" applyBorder="1" applyAlignment="1">
      <alignment horizontal="center" wrapText="1" readingOrder="1"/>
    </xf>
    <xf numFmtId="9" fontId="13" fillId="11" borderId="174" xfId="7" applyFont="1" applyFill="1" applyBorder="1" applyAlignment="1">
      <alignment horizontal="center" wrapText="1" readingOrder="1"/>
    </xf>
    <xf numFmtId="9" fontId="13" fillId="17" borderId="174" xfId="7" applyFont="1" applyFill="1" applyBorder="1" applyAlignment="1">
      <alignment horizontal="center" wrapText="1" readingOrder="1"/>
    </xf>
    <xf numFmtId="9" fontId="13" fillId="0" borderId="174" xfId="7" applyFont="1" applyFill="1" applyBorder="1" applyAlignment="1">
      <alignment horizontal="center" wrapText="1" readingOrder="1"/>
    </xf>
    <xf numFmtId="9" fontId="4" fillId="18" borderId="174" xfId="7" applyFont="1" applyFill="1" applyBorder="1" applyAlignment="1">
      <alignment horizontal="center" wrapText="1" readingOrder="1"/>
    </xf>
    <xf numFmtId="168" fontId="11" fillId="0" borderId="33" xfId="5" applyNumberFormat="1" applyFont="1" applyBorder="1" applyAlignment="1">
      <alignment horizontal="right" vertical="top"/>
    </xf>
    <xf numFmtId="168" fontId="11" fillId="0" borderId="34" xfId="5" applyNumberFormat="1" applyFont="1" applyBorder="1" applyAlignment="1">
      <alignment horizontal="right" vertical="top"/>
    </xf>
    <xf numFmtId="168" fontId="11" fillId="0" borderId="35" xfId="5" applyNumberFormat="1" applyFont="1" applyBorder="1" applyAlignment="1">
      <alignment horizontal="right" vertical="top"/>
    </xf>
    <xf numFmtId="0" fontId="11" fillId="0" borderId="192" xfId="5" applyFont="1" applyBorder="1" applyAlignment="1">
      <alignment horizontal="center" wrapText="1"/>
    </xf>
    <xf numFmtId="0" fontId="11" fillId="0" borderId="27" xfId="5" applyFont="1" applyBorder="1" applyAlignment="1">
      <alignment horizontal="left" vertical="top" wrapText="1"/>
    </xf>
    <xf numFmtId="0" fontId="11" fillId="0" borderId="32" xfId="5" applyFont="1" applyBorder="1" applyAlignment="1">
      <alignment horizontal="left" vertical="top" wrapText="1"/>
    </xf>
    <xf numFmtId="0" fontId="11" fillId="0" borderId="37" xfId="5" applyFont="1" applyBorder="1" applyAlignment="1">
      <alignment horizontal="left" vertical="top" wrapText="1"/>
    </xf>
    <xf numFmtId="168" fontId="11" fillId="0" borderId="193" xfId="5" applyNumberFormat="1" applyFont="1" applyBorder="1" applyAlignment="1">
      <alignment horizontal="right" vertical="top"/>
    </xf>
    <xf numFmtId="168" fontId="11" fillId="0" borderId="194" xfId="5" applyNumberFormat="1" applyFont="1" applyBorder="1" applyAlignment="1">
      <alignment horizontal="right" vertical="top"/>
    </xf>
    <xf numFmtId="168" fontId="11" fillId="0" borderId="195" xfId="5" applyNumberFormat="1" applyFont="1" applyBorder="1" applyAlignment="1">
      <alignment horizontal="right" vertical="top"/>
    </xf>
    <xf numFmtId="0" fontId="11" fillId="0" borderId="0" xfId="5" applyFont="1" applyAlignment="1">
      <alignment wrapText="1"/>
    </xf>
    <xf numFmtId="0" fontId="11" fillId="0" borderId="0" xfId="5" applyFont="1" applyAlignment="1">
      <alignment vertical="top" wrapText="1"/>
    </xf>
    <xf numFmtId="0" fontId="11" fillId="0" borderId="0" xfId="5" applyFont="1" applyAlignment="1">
      <alignment horizontal="center" wrapText="1"/>
    </xf>
    <xf numFmtId="0" fontId="11" fillId="0" borderId="0" xfId="5" applyFont="1" applyAlignment="1">
      <alignment horizontal="left" vertical="top"/>
    </xf>
    <xf numFmtId="165" fontId="11" fillId="0" borderId="0" xfId="5" applyNumberFormat="1" applyFont="1" applyAlignment="1">
      <alignment horizontal="right" vertical="top"/>
    </xf>
    <xf numFmtId="165" fontId="10" fillId="0" borderId="0" xfId="5" applyNumberFormat="1"/>
    <xf numFmtId="0" fontId="11" fillId="0" borderId="203" xfId="8" applyFont="1" applyBorder="1" applyAlignment="1">
      <alignment horizontal="center" wrapText="1"/>
    </xf>
    <xf numFmtId="0" fontId="11" fillId="0" borderId="204" xfId="8" applyFont="1" applyBorder="1" applyAlignment="1">
      <alignment horizontal="center" wrapText="1"/>
    </xf>
    <xf numFmtId="0" fontId="11" fillId="0" borderId="205" xfId="8" applyFont="1" applyBorder="1" applyAlignment="1">
      <alignment horizontal="center" wrapText="1"/>
    </xf>
    <xf numFmtId="0" fontId="11" fillId="0" borderId="197" xfId="8" applyFont="1" applyBorder="1" applyAlignment="1">
      <alignment horizontal="left" vertical="top" wrapText="1"/>
    </xf>
    <xf numFmtId="165" fontId="11" fillId="0" borderId="206" xfId="8" applyNumberFormat="1" applyFont="1" applyBorder="1" applyAlignment="1">
      <alignment horizontal="right" vertical="top"/>
    </xf>
    <xf numFmtId="165" fontId="11" fillId="0" borderId="34" xfId="8" applyNumberFormat="1" applyFont="1" applyBorder="1" applyAlignment="1">
      <alignment horizontal="right" vertical="top"/>
    </xf>
    <xf numFmtId="165" fontId="11" fillId="0" borderId="207" xfId="8" applyNumberFormat="1" applyFont="1" applyBorder="1" applyAlignment="1">
      <alignment horizontal="right" vertical="top"/>
    </xf>
    <xf numFmtId="0" fontId="11" fillId="0" borderId="202" xfId="8" applyFont="1" applyBorder="1" applyAlignment="1">
      <alignment horizontal="left" vertical="top" wrapText="1"/>
    </xf>
    <xf numFmtId="165" fontId="11" fillId="0" borderId="208" xfId="8" applyNumberFormat="1" applyFont="1" applyBorder="1" applyAlignment="1">
      <alignment horizontal="right" vertical="top"/>
    </xf>
    <xf numFmtId="165" fontId="11" fillId="0" borderId="209" xfId="8" applyNumberFormat="1" applyFont="1" applyBorder="1" applyAlignment="1">
      <alignment horizontal="right" vertical="top"/>
    </xf>
    <xf numFmtId="165" fontId="11" fillId="0" borderId="210" xfId="8" applyNumberFormat="1" applyFont="1" applyBorder="1" applyAlignment="1">
      <alignment horizontal="right" vertical="top"/>
    </xf>
    <xf numFmtId="0" fontId="10" fillId="0" borderId="0" xfId="8"/>
    <xf numFmtId="0" fontId="21" fillId="20" borderId="137" xfId="0" applyFont="1" applyFill="1" applyBorder="1"/>
    <xf numFmtId="165" fontId="0" fillId="20" borderId="122" xfId="0" applyNumberFormat="1" applyFill="1" applyBorder="1" applyAlignment="1">
      <alignment horizontal="center"/>
    </xf>
    <xf numFmtId="165" fontId="0" fillId="20" borderId="124" xfId="0" applyNumberFormat="1" applyFill="1" applyBorder="1" applyAlignment="1">
      <alignment horizontal="center"/>
    </xf>
    <xf numFmtId="0" fontId="21" fillId="20" borderId="138" xfId="0" applyFont="1" applyFill="1" applyBorder="1"/>
    <xf numFmtId="165" fontId="0" fillId="20" borderId="127" xfId="0" applyNumberFormat="1" applyFill="1" applyBorder="1" applyAlignment="1">
      <alignment horizontal="center"/>
    </xf>
    <xf numFmtId="165" fontId="0" fillId="20" borderId="129" xfId="0" applyNumberFormat="1" applyFill="1" applyBorder="1" applyAlignment="1">
      <alignment horizontal="center"/>
    </xf>
    <xf numFmtId="0" fontId="21" fillId="5" borderId="136" xfId="0" applyFont="1" applyFill="1" applyBorder="1"/>
    <xf numFmtId="0" fontId="21" fillId="5" borderId="138" xfId="0" applyFont="1" applyFill="1" applyBorder="1"/>
    <xf numFmtId="165" fontId="0" fillId="5" borderId="129" xfId="0" applyNumberFormat="1" applyFill="1" applyBorder="1" applyAlignment="1">
      <alignment horizontal="center"/>
    </xf>
    <xf numFmtId="0" fontId="21" fillId="20" borderId="136" xfId="0" applyFont="1" applyFill="1" applyBorder="1"/>
    <xf numFmtId="165" fontId="0" fillId="20" borderId="140" xfId="0" applyNumberFormat="1" applyFill="1" applyBorder="1" applyAlignment="1">
      <alignment horizontal="center"/>
    </xf>
    <xf numFmtId="165" fontId="0" fillId="20" borderId="142" xfId="0" applyNumberFormat="1" applyFill="1" applyBorder="1" applyAlignment="1">
      <alignment horizontal="center"/>
    </xf>
    <xf numFmtId="0" fontId="21" fillId="5" borderId="113" xfId="0" applyFont="1" applyFill="1" applyBorder="1"/>
    <xf numFmtId="165" fontId="0" fillId="5" borderId="143" xfId="0" applyNumberFormat="1" applyFill="1" applyBorder="1" applyAlignment="1">
      <alignment horizontal="center"/>
    </xf>
    <xf numFmtId="0" fontId="21" fillId="5" borderId="137" xfId="0" applyFont="1" applyFill="1" applyBorder="1"/>
    <xf numFmtId="165" fontId="21" fillId="5" borderId="122" xfId="0" applyNumberFormat="1" applyFont="1" applyFill="1" applyBorder="1" applyAlignment="1">
      <alignment horizontal="center"/>
    </xf>
    <xf numFmtId="0" fontId="21" fillId="20" borderId="121" xfId="0" applyFont="1" applyFill="1" applyBorder="1"/>
    <xf numFmtId="165" fontId="0" fillId="20" borderId="125" xfId="0" applyNumberFormat="1" applyFill="1" applyBorder="1" applyAlignment="1">
      <alignment horizontal="center"/>
    </xf>
    <xf numFmtId="165" fontId="0" fillId="20" borderId="126" xfId="0" applyNumberFormat="1" applyFill="1" applyBorder="1" applyAlignment="1">
      <alignment horizontal="center"/>
    </xf>
    <xf numFmtId="165" fontId="21" fillId="5" borderId="124" xfId="0" applyNumberFormat="1" applyFont="1" applyFill="1" applyBorder="1" applyAlignment="1">
      <alignment horizontal="center"/>
    </xf>
    <xf numFmtId="165" fontId="21" fillId="5" borderId="140" xfId="0" applyNumberFormat="1" applyFont="1" applyFill="1" applyBorder="1" applyAlignment="1">
      <alignment horizontal="center"/>
    </xf>
    <xf numFmtId="165" fontId="0" fillId="5" borderId="122" xfId="0" applyNumberFormat="1" applyFill="1" applyBorder="1" applyAlignment="1">
      <alignment horizontal="center"/>
    </xf>
    <xf numFmtId="165" fontId="0" fillId="5" borderId="124" xfId="0" applyNumberFormat="1" applyFill="1" applyBorder="1" applyAlignment="1">
      <alignment horizontal="center"/>
    </xf>
    <xf numFmtId="168" fontId="0" fillId="20" borderId="127" xfId="0" applyNumberFormat="1" applyFill="1" applyBorder="1" applyAlignment="1">
      <alignment horizontal="center"/>
    </xf>
    <xf numFmtId="168" fontId="21" fillId="0" borderId="0" xfId="0" applyNumberFormat="1" applyFont="1"/>
    <xf numFmtId="0" fontId="11" fillId="0" borderId="118" xfId="8" applyFont="1" applyBorder="1" applyAlignment="1">
      <alignment horizontal="center" wrapText="1"/>
    </xf>
    <xf numFmtId="168" fontId="0" fillId="20" borderId="125" xfId="0" applyNumberFormat="1" applyFill="1" applyBorder="1" applyAlignment="1">
      <alignment horizontal="center"/>
    </xf>
    <xf numFmtId="165" fontId="10" fillId="0" borderId="0" xfId="8" applyNumberFormat="1"/>
    <xf numFmtId="168" fontId="0" fillId="0" borderId="0" xfId="0" applyNumberFormat="1"/>
    <xf numFmtId="171" fontId="21" fillId="0" borderId="0" xfId="0" applyNumberFormat="1" applyFont="1"/>
    <xf numFmtId="0" fontId="0" fillId="21" borderId="0" xfId="0" applyFill="1"/>
    <xf numFmtId="0" fontId="0" fillId="22" borderId="121" xfId="0" applyFill="1" applyBorder="1"/>
    <xf numFmtId="165" fontId="0" fillId="22" borderId="169" xfId="0" applyNumberFormat="1" applyFill="1" applyBorder="1"/>
    <xf numFmtId="0" fontId="0" fillId="22" borderId="138" xfId="0" applyFill="1" applyBorder="1"/>
    <xf numFmtId="168" fontId="0" fillId="22" borderId="164" xfId="0" applyNumberFormat="1" applyFill="1" applyBorder="1"/>
    <xf numFmtId="168" fontId="0" fillId="22" borderId="165" xfId="0" applyNumberFormat="1" applyFill="1" applyBorder="1"/>
    <xf numFmtId="165" fontId="0" fillId="22" borderId="125" xfId="0" applyNumberFormat="1" applyFill="1" applyBorder="1"/>
    <xf numFmtId="165" fontId="0" fillId="22" borderId="127" xfId="0" applyNumberFormat="1" applyFill="1" applyBorder="1"/>
    <xf numFmtId="165" fontId="0" fillId="22" borderId="128" xfId="0" applyNumberFormat="1" applyFill="1" applyBorder="1"/>
    <xf numFmtId="0" fontId="0" fillId="22" borderId="113" xfId="0" applyFill="1" applyBorder="1"/>
    <xf numFmtId="0" fontId="0" fillId="22" borderId="136" xfId="0" applyFill="1" applyBorder="1"/>
    <xf numFmtId="165" fontId="0" fillId="22" borderId="140" xfId="0" applyNumberFormat="1" applyFill="1" applyBorder="1"/>
    <xf numFmtId="165" fontId="0" fillId="22" borderId="141" xfId="0" applyNumberFormat="1" applyFill="1" applyBorder="1"/>
    <xf numFmtId="165" fontId="0" fillId="22" borderId="143" xfId="0" applyNumberFormat="1" applyFill="1" applyBorder="1"/>
    <xf numFmtId="0" fontId="0" fillId="22" borderId="158" xfId="0" applyFill="1" applyBorder="1"/>
    <xf numFmtId="0" fontId="0" fillId="22" borderId="159" xfId="0" applyFill="1" applyBorder="1"/>
    <xf numFmtId="168" fontId="0" fillId="22" borderId="87" xfId="0" applyNumberFormat="1" applyFill="1" applyBorder="1"/>
    <xf numFmtId="168" fontId="0" fillId="22" borderId="57" xfId="0" applyNumberFormat="1" applyFill="1" applyBorder="1"/>
    <xf numFmtId="168" fontId="0" fillId="22" borderId="125" xfId="0" applyNumberFormat="1" applyFill="1" applyBorder="1"/>
    <xf numFmtId="168" fontId="0" fillId="22" borderId="127" xfId="0" applyNumberFormat="1" applyFill="1" applyBorder="1"/>
    <xf numFmtId="168" fontId="0" fillId="22" borderId="120" xfId="0" applyNumberFormat="1" applyFill="1" applyBorder="1"/>
    <xf numFmtId="168" fontId="0" fillId="22" borderId="126" xfId="0" applyNumberFormat="1" applyFill="1" applyBorder="1"/>
    <xf numFmtId="168" fontId="0" fillId="22" borderId="128" xfId="0" applyNumberFormat="1" applyFill="1" applyBorder="1"/>
    <xf numFmtId="168" fontId="0" fillId="22" borderId="129" xfId="0" applyNumberFormat="1" applyFill="1" applyBorder="1"/>
    <xf numFmtId="0" fontId="0" fillId="5" borderId="167" xfId="0" applyFill="1" applyBorder="1"/>
    <xf numFmtId="165" fontId="0" fillId="5" borderId="163" xfId="0" applyNumberFormat="1" applyFill="1" applyBorder="1"/>
    <xf numFmtId="168" fontId="0" fillId="22" borderId="130" xfId="0" applyNumberFormat="1" applyFill="1" applyBorder="1"/>
    <xf numFmtId="168" fontId="0" fillId="22" borderId="131" xfId="0" applyNumberFormat="1" applyFill="1" applyBorder="1"/>
    <xf numFmtId="168" fontId="0" fillId="22" borderId="169" xfId="0" applyNumberFormat="1" applyFill="1" applyBorder="1"/>
    <xf numFmtId="0" fontId="35" fillId="19" borderId="107" xfId="0" applyFont="1" applyFill="1" applyBorder="1" applyAlignment="1">
      <alignment horizontal="center" wrapText="1" readingOrder="1"/>
    </xf>
    <xf numFmtId="0" fontId="35" fillId="19" borderId="111" xfId="0" applyFont="1" applyFill="1" applyBorder="1" applyAlignment="1">
      <alignment horizontal="center" wrapText="1" readingOrder="1"/>
    </xf>
    <xf numFmtId="0" fontId="35" fillId="19" borderId="133" xfId="0" applyFont="1" applyFill="1" applyBorder="1" applyAlignment="1">
      <alignment horizontal="center" wrapText="1" readingOrder="1"/>
    </xf>
    <xf numFmtId="0" fontId="35" fillId="19" borderId="134" xfId="0" applyFont="1" applyFill="1" applyBorder="1" applyAlignment="1">
      <alignment horizontal="center" wrapText="1" readingOrder="1"/>
    </xf>
    <xf numFmtId="0" fontId="35" fillId="19" borderId="135" xfId="0" applyFont="1" applyFill="1" applyBorder="1" applyAlignment="1">
      <alignment horizontal="center" wrapText="1" readingOrder="1"/>
    </xf>
    <xf numFmtId="0" fontId="19" fillId="23" borderId="68" xfId="0" applyFont="1" applyFill="1" applyBorder="1" applyAlignment="1">
      <alignment horizontal="left" wrapText="1" readingOrder="1"/>
    </xf>
    <xf numFmtId="3" fontId="19" fillId="23" borderId="125" xfId="0" applyNumberFormat="1" applyFont="1" applyFill="1" applyBorder="1" applyAlignment="1">
      <alignment horizontal="center" wrapText="1" readingOrder="1"/>
    </xf>
    <xf numFmtId="3" fontId="19" fillId="23" borderId="126" xfId="0" applyNumberFormat="1" applyFont="1" applyFill="1" applyBorder="1" applyAlignment="1">
      <alignment horizontal="center" wrapText="1" readingOrder="1"/>
    </xf>
    <xf numFmtId="3" fontId="19" fillId="23" borderId="130" xfId="0" applyNumberFormat="1" applyFont="1" applyFill="1" applyBorder="1" applyAlignment="1">
      <alignment horizontal="center" wrapText="1" readingOrder="1"/>
    </xf>
    <xf numFmtId="0" fontId="19" fillId="23" borderId="125" xfId="0" applyFont="1" applyFill="1" applyBorder="1" applyAlignment="1">
      <alignment horizontal="center" wrapText="1" readingOrder="1"/>
    </xf>
    <xf numFmtId="0" fontId="19" fillId="23" borderId="126" xfId="0" applyFont="1" applyFill="1" applyBorder="1" applyAlignment="1">
      <alignment horizontal="center" wrapText="1" readingOrder="1"/>
    </xf>
    <xf numFmtId="0" fontId="19" fillId="23" borderId="21" xfId="0" applyFont="1" applyFill="1" applyBorder="1" applyAlignment="1">
      <alignment horizontal="left" wrapText="1" readingOrder="1"/>
    </xf>
    <xf numFmtId="3" fontId="19" fillId="23" borderId="127" xfId="0" applyNumberFormat="1" applyFont="1" applyFill="1" applyBorder="1" applyAlignment="1">
      <alignment horizontal="center" wrapText="1" readingOrder="1"/>
    </xf>
    <xf numFmtId="3" fontId="19" fillId="23" borderId="129" xfId="0" applyNumberFormat="1" applyFont="1" applyFill="1" applyBorder="1" applyAlignment="1">
      <alignment horizontal="center" wrapText="1" readingOrder="1"/>
    </xf>
    <xf numFmtId="0" fontId="13" fillId="24" borderId="68" xfId="0" applyFont="1" applyFill="1" applyBorder="1" applyAlignment="1">
      <alignment horizontal="left" wrapText="1" readingOrder="1"/>
    </xf>
    <xf numFmtId="3" fontId="13" fillId="24" borderId="125" xfId="0" applyNumberFormat="1" applyFont="1" applyFill="1" applyBorder="1" applyAlignment="1">
      <alignment horizontal="center" wrapText="1" readingOrder="1"/>
    </xf>
    <xf numFmtId="3" fontId="13" fillId="24" borderId="122" xfId="0" applyNumberFormat="1" applyFont="1" applyFill="1" applyBorder="1" applyAlignment="1">
      <alignment horizontal="center" wrapText="1" readingOrder="1"/>
    </xf>
    <xf numFmtId="3" fontId="13" fillId="24" borderId="124" xfId="0" applyNumberFormat="1" applyFont="1" applyFill="1" applyBorder="1" applyAlignment="1">
      <alignment horizontal="center" wrapText="1" readingOrder="1"/>
    </xf>
    <xf numFmtId="3" fontId="13" fillId="24" borderId="130" xfId="0" applyNumberFormat="1" applyFont="1" applyFill="1" applyBorder="1" applyAlignment="1">
      <alignment horizontal="center" wrapText="1" readingOrder="1"/>
    </xf>
    <xf numFmtId="3" fontId="13" fillId="24" borderId="126" xfId="0" applyNumberFormat="1" applyFont="1" applyFill="1" applyBorder="1" applyAlignment="1">
      <alignment horizontal="center" wrapText="1" readingOrder="1"/>
    </xf>
    <xf numFmtId="0" fontId="19" fillId="25" borderId="68" xfId="0" applyFont="1" applyFill="1" applyBorder="1" applyAlignment="1">
      <alignment horizontal="left" wrapText="1" readingOrder="1"/>
    </xf>
    <xf numFmtId="3" fontId="19" fillId="25" borderId="125" xfId="0" applyNumberFormat="1" applyFont="1" applyFill="1" applyBorder="1" applyAlignment="1">
      <alignment horizontal="center" wrapText="1" readingOrder="1"/>
    </xf>
    <xf numFmtId="3" fontId="19" fillId="25" borderId="126" xfId="0" applyNumberFormat="1" applyFont="1" applyFill="1" applyBorder="1" applyAlignment="1">
      <alignment horizontal="center" wrapText="1" readingOrder="1"/>
    </xf>
    <xf numFmtId="3" fontId="19" fillId="25" borderId="130" xfId="0" applyNumberFormat="1" applyFont="1" applyFill="1" applyBorder="1" applyAlignment="1">
      <alignment horizontal="center" wrapText="1" readingOrder="1"/>
    </xf>
    <xf numFmtId="0" fontId="18" fillId="25" borderId="68" xfId="0" applyFont="1" applyFill="1" applyBorder="1" applyAlignment="1">
      <alignment horizontal="right" wrapText="1" readingOrder="1"/>
    </xf>
    <xf numFmtId="3" fontId="18" fillId="25" borderId="125" xfId="0" applyNumberFormat="1" applyFont="1" applyFill="1" applyBorder="1" applyAlignment="1">
      <alignment horizontal="center" wrapText="1" readingOrder="1"/>
    </xf>
    <xf numFmtId="3" fontId="18" fillId="25" borderId="126" xfId="0" applyNumberFormat="1" applyFont="1" applyFill="1" applyBorder="1" applyAlignment="1">
      <alignment horizontal="center" wrapText="1" readingOrder="1"/>
    </xf>
    <xf numFmtId="0" fontId="35" fillId="19" borderId="139" xfId="0" applyFont="1" applyFill="1" applyBorder="1" applyAlignment="1">
      <alignment horizontal="center" wrapText="1" readingOrder="1"/>
    </xf>
    <xf numFmtId="3" fontId="13" fillId="24" borderId="218" xfId="0" applyNumberFormat="1" applyFont="1" applyFill="1" applyBorder="1" applyAlignment="1">
      <alignment horizontal="center" wrapText="1" readingOrder="1"/>
    </xf>
    <xf numFmtId="3" fontId="19" fillId="23" borderId="219" xfId="0" applyNumberFormat="1" applyFont="1" applyFill="1" applyBorder="1" applyAlignment="1">
      <alignment horizontal="center" wrapText="1" readingOrder="1"/>
    </xf>
    <xf numFmtId="3" fontId="19" fillId="25" borderId="219" xfId="0" applyNumberFormat="1" applyFont="1" applyFill="1" applyBorder="1" applyAlignment="1">
      <alignment horizontal="center" wrapText="1" readingOrder="1"/>
    </xf>
    <xf numFmtId="0" fontId="35" fillId="19" borderId="220" xfId="0" applyFont="1" applyFill="1" applyBorder="1" applyAlignment="1">
      <alignment horizontal="center" wrapText="1" readingOrder="1"/>
    </xf>
    <xf numFmtId="3" fontId="13" fillId="24" borderId="221" xfId="0" applyNumberFormat="1" applyFont="1" applyFill="1" applyBorder="1" applyAlignment="1">
      <alignment horizontal="center" wrapText="1" readingOrder="1"/>
    </xf>
    <xf numFmtId="3" fontId="13" fillId="24" borderId="222" xfId="0" applyNumberFormat="1" applyFont="1" applyFill="1" applyBorder="1" applyAlignment="1">
      <alignment horizontal="center" wrapText="1" readingOrder="1"/>
    </xf>
    <xf numFmtId="3" fontId="13" fillId="24" borderId="223" xfId="0" applyNumberFormat="1" applyFont="1" applyFill="1" applyBorder="1" applyAlignment="1">
      <alignment horizontal="center" wrapText="1" readingOrder="1"/>
    </xf>
    <xf numFmtId="3" fontId="19" fillId="23" borderId="223" xfId="0" applyNumberFormat="1" applyFont="1" applyFill="1" applyBorder="1" applyAlignment="1">
      <alignment horizontal="center" wrapText="1" readingOrder="1"/>
    </xf>
    <xf numFmtId="3" fontId="19" fillId="25" borderId="223" xfId="0" applyNumberFormat="1" applyFont="1" applyFill="1" applyBorder="1" applyAlignment="1">
      <alignment horizontal="center" wrapText="1" readingOrder="1"/>
    </xf>
    <xf numFmtId="3" fontId="19" fillId="23" borderId="131" xfId="0" applyNumberFormat="1" applyFont="1" applyFill="1" applyBorder="1" applyAlignment="1">
      <alignment horizontal="center" wrapText="1" readingOrder="1"/>
    </xf>
    <xf numFmtId="3" fontId="19" fillId="23" borderId="224" xfId="0" applyNumberFormat="1" applyFont="1" applyFill="1" applyBorder="1" applyAlignment="1">
      <alignment horizontal="center" wrapText="1" readingOrder="1"/>
    </xf>
    <xf numFmtId="165" fontId="36" fillId="0" borderId="146" xfId="0" applyNumberFormat="1" applyFont="1" applyBorder="1" applyAlignment="1">
      <alignment horizontal="center"/>
    </xf>
    <xf numFmtId="165" fontId="0" fillId="22" borderId="85" xfId="0" applyNumberFormat="1" applyFill="1" applyBorder="1" applyAlignment="1">
      <alignment horizontal="center" vertical="center"/>
    </xf>
    <xf numFmtId="165" fontId="0" fillId="22" borderId="86" xfId="0" applyNumberFormat="1" applyFill="1" applyBorder="1" applyAlignment="1">
      <alignment horizontal="center" vertical="center"/>
    </xf>
    <xf numFmtId="165" fontId="0" fillId="22" borderId="87" xfId="0" applyNumberFormat="1" applyFill="1" applyBorder="1" applyAlignment="1">
      <alignment horizontal="center" vertical="center"/>
    </xf>
    <xf numFmtId="168" fontId="0" fillId="22" borderId="85" xfId="0" applyNumberFormat="1" applyFill="1" applyBorder="1"/>
    <xf numFmtId="168" fontId="0" fillId="22" borderId="86" xfId="0" applyNumberFormat="1" applyFill="1" applyBorder="1"/>
    <xf numFmtId="168" fontId="0" fillId="22" borderId="86" xfId="0" applyNumberFormat="1" applyFill="1" applyBorder="1" applyAlignment="1">
      <alignment horizontal="center" vertical="center"/>
    </xf>
    <xf numFmtId="168" fontId="0" fillId="22" borderId="55" xfId="0" applyNumberFormat="1" applyFill="1" applyBorder="1"/>
    <xf numFmtId="168" fontId="0" fillId="22" borderId="56" xfId="0" applyNumberFormat="1" applyFill="1" applyBorder="1"/>
    <xf numFmtId="168" fontId="0" fillId="22" borderId="56" xfId="0" applyNumberFormat="1" applyFill="1" applyBorder="1" applyAlignment="1">
      <alignment horizontal="center" vertical="center"/>
    </xf>
    <xf numFmtId="0" fontId="0" fillId="11" borderId="225" xfId="0" applyFill="1" applyBorder="1"/>
    <xf numFmtId="165" fontId="0" fillId="11" borderId="174" xfId="0" applyNumberFormat="1" applyFill="1" applyBorder="1" applyAlignment="1">
      <alignment horizontal="center"/>
    </xf>
    <xf numFmtId="165" fontId="0" fillId="11" borderId="171" xfId="0" applyNumberFormat="1" applyFill="1" applyBorder="1" applyAlignment="1">
      <alignment horizontal="center"/>
    </xf>
    <xf numFmtId="165" fontId="0" fillId="11" borderId="175" xfId="0" applyNumberFormat="1" applyFill="1" applyBorder="1" applyAlignment="1">
      <alignment horizontal="center"/>
    </xf>
    <xf numFmtId="0" fontId="0" fillId="22" borderId="226" xfId="0" applyFill="1" applyBorder="1"/>
    <xf numFmtId="168" fontId="0" fillId="22" borderId="227" xfId="0" applyNumberFormat="1" applyFill="1" applyBorder="1" applyAlignment="1">
      <alignment horizontal="center"/>
    </xf>
    <xf numFmtId="168" fontId="0" fillId="22" borderId="228" xfId="0" applyNumberFormat="1" applyFill="1" applyBorder="1" applyAlignment="1">
      <alignment horizontal="center"/>
    </xf>
    <xf numFmtId="0" fontId="0" fillId="22" borderId="127" xfId="0" applyFill="1" applyBorder="1"/>
    <xf numFmtId="168" fontId="0" fillId="22" borderId="128" xfId="0" applyNumberFormat="1" applyFill="1" applyBorder="1" applyAlignment="1">
      <alignment horizontal="center"/>
    </xf>
    <xf numFmtId="168" fontId="0" fillId="22" borderId="129" xfId="0" applyNumberFormat="1" applyFill="1" applyBorder="1" applyAlignment="1">
      <alignment horizontal="center"/>
    </xf>
    <xf numFmtId="9" fontId="0" fillId="0" borderId="0" xfId="7" applyFont="1"/>
    <xf numFmtId="165" fontId="36" fillId="0" borderId="156" xfId="0" applyNumberFormat="1" applyFont="1" applyBorder="1"/>
    <xf numFmtId="0" fontId="11" fillId="0" borderId="232" xfId="8" applyFont="1" applyBorder="1" applyAlignment="1">
      <alignment horizontal="left" vertical="top" wrapText="1"/>
    </xf>
    <xf numFmtId="165" fontId="11" fillId="0" borderId="237" xfId="8" applyNumberFormat="1" applyFont="1" applyBorder="1" applyAlignment="1">
      <alignment horizontal="right" vertical="top"/>
    </xf>
    <xf numFmtId="165" fontId="11" fillId="0" borderId="238" xfId="8" applyNumberFormat="1" applyFont="1" applyBorder="1" applyAlignment="1">
      <alignment horizontal="right" vertical="top"/>
    </xf>
    <xf numFmtId="165" fontId="11" fillId="0" borderId="239" xfId="8" applyNumberFormat="1" applyFont="1" applyBorder="1" applyAlignment="1">
      <alignment horizontal="right" vertical="top"/>
    </xf>
    <xf numFmtId="0" fontId="11" fillId="26" borderId="197" xfId="8" applyFont="1" applyFill="1" applyBorder="1" applyAlignment="1">
      <alignment horizontal="left" vertical="top" wrapText="1"/>
    </xf>
    <xf numFmtId="165" fontId="11" fillId="26" borderId="206" xfId="8" applyNumberFormat="1" applyFont="1" applyFill="1" applyBorder="1" applyAlignment="1">
      <alignment horizontal="right" vertical="top"/>
    </xf>
    <xf numFmtId="165" fontId="11" fillId="26" borderId="34" xfId="8" applyNumberFormat="1" applyFont="1" applyFill="1" applyBorder="1" applyAlignment="1">
      <alignment horizontal="right" vertical="top"/>
    </xf>
    <xf numFmtId="165" fontId="11" fillId="26" borderId="207" xfId="8" applyNumberFormat="1" applyFont="1" applyFill="1" applyBorder="1" applyAlignment="1">
      <alignment horizontal="right" vertical="top"/>
    </xf>
    <xf numFmtId="168" fontId="10" fillId="0" borderId="0" xfId="8" applyNumberFormat="1"/>
    <xf numFmtId="0" fontId="10" fillId="0" borderId="0" xfId="8" applyAlignment="1">
      <alignment vertical="center"/>
    </xf>
    <xf numFmtId="0" fontId="10" fillId="0" borderId="0" xfId="8" applyAlignment="1">
      <alignment vertical="center" wrapText="1"/>
    </xf>
    <xf numFmtId="0" fontId="11" fillId="0" borderId="0" xfId="8" applyFont="1" applyAlignment="1">
      <alignment wrapText="1"/>
    </xf>
    <xf numFmtId="165" fontId="11" fillId="20" borderId="34" xfId="8" applyNumberFormat="1" applyFont="1" applyFill="1" applyBorder="1" applyAlignment="1">
      <alignment horizontal="right" vertical="top"/>
    </xf>
    <xf numFmtId="165" fontId="11" fillId="14" borderId="34" xfId="8" applyNumberFormat="1" applyFont="1" applyFill="1" applyBorder="1" applyAlignment="1">
      <alignment horizontal="right" vertical="top"/>
    </xf>
    <xf numFmtId="0" fontId="11" fillId="14" borderId="0" xfId="8" applyFont="1" applyFill="1" applyAlignment="1">
      <alignment horizontal="left" vertical="top" wrapText="1"/>
    </xf>
    <xf numFmtId="0" fontId="11" fillId="20" borderId="0" xfId="8" applyFont="1" applyFill="1" applyAlignment="1">
      <alignment horizontal="left" vertical="top" wrapText="1"/>
    </xf>
    <xf numFmtId="0" fontId="11" fillId="0" borderId="244" xfId="8" applyFont="1" applyBorder="1" applyAlignment="1">
      <alignment horizontal="center" wrapText="1"/>
    </xf>
    <xf numFmtId="165" fontId="11" fillId="14" borderId="245" xfId="8" applyNumberFormat="1" applyFont="1" applyFill="1" applyBorder="1" applyAlignment="1">
      <alignment horizontal="right" vertical="top"/>
    </xf>
    <xf numFmtId="165" fontId="11" fillId="14" borderId="216" xfId="8" applyNumberFormat="1" applyFont="1" applyFill="1" applyBorder="1" applyAlignment="1">
      <alignment horizontal="right" vertical="top"/>
    </xf>
    <xf numFmtId="165" fontId="11" fillId="20" borderId="245" xfId="8" applyNumberFormat="1" applyFont="1" applyFill="1" applyBorder="1" applyAlignment="1">
      <alignment horizontal="right" vertical="top"/>
    </xf>
    <xf numFmtId="165" fontId="11" fillId="20" borderId="216" xfId="8" applyNumberFormat="1" applyFont="1" applyFill="1" applyBorder="1" applyAlignment="1">
      <alignment horizontal="right" vertical="top"/>
    </xf>
    <xf numFmtId="165" fontId="11" fillId="14" borderId="246" xfId="8" applyNumberFormat="1" applyFont="1" applyFill="1" applyBorder="1" applyAlignment="1">
      <alignment horizontal="right" vertical="top"/>
    </xf>
    <xf numFmtId="165" fontId="11" fillId="14" borderId="117" xfId="8" applyNumberFormat="1" applyFont="1" applyFill="1" applyBorder="1" applyAlignment="1">
      <alignment horizontal="right" vertical="top"/>
    </xf>
    <xf numFmtId="165" fontId="11" fillId="14" borderId="217" xfId="8" applyNumberFormat="1" applyFont="1" applyFill="1" applyBorder="1" applyAlignment="1">
      <alignment horizontal="right" vertical="top"/>
    </xf>
    <xf numFmtId="0" fontId="11" fillId="0" borderId="250" xfId="8" applyFont="1" applyBorder="1" applyAlignment="1">
      <alignment horizontal="center" wrapText="1"/>
    </xf>
    <xf numFmtId="0" fontId="11" fillId="0" borderId="251" xfId="8" applyFont="1" applyBorder="1" applyAlignment="1">
      <alignment horizontal="center" wrapText="1"/>
    </xf>
    <xf numFmtId="0" fontId="11" fillId="20" borderId="253" xfId="8" applyFont="1" applyFill="1" applyBorder="1" applyAlignment="1">
      <alignment horizontal="left" vertical="top" wrapText="1"/>
    </xf>
    <xf numFmtId="165" fontId="11" fillId="20" borderId="254" xfId="8" applyNumberFormat="1" applyFont="1" applyFill="1" applyBorder="1" applyAlignment="1">
      <alignment horizontal="right" vertical="top"/>
    </xf>
    <xf numFmtId="165" fontId="11" fillId="20" borderId="255" xfId="8" applyNumberFormat="1" applyFont="1" applyFill="1" applyBorder="1" applyAlignment="1">
      <alignment horizontal="right" vertical="top"/>
    </xf>
    <xf numFmtId="165" fontId="11" fillId="20" borderId="256" xfId="8" applyNumberFormat="1" applyFont="1" applyFill="1" applyBorder="1" applyAlignment="1">
      <alignment horizontal="right" vertical="top"/>
    </xf>
    <xf numFmtId="0" fontId="11" fillId="14" borderId="114" xfId="8" applyFont="1" applyFill="1" applyBorder="1" applyAlignment="1">
      <alignment horizontal="left" vertical="top" wrapText="1"/>
    </xf>
    <xf numFmtId="170" fontId="0" fillId="5" borderId="240" xfId="0" applyNumberFormat="1" applyFill="1" applyBorder="1" applyAlignment="1">
      <alignment horizontal="center"/>
    </xf>
    <xf numFmtId="170" fontId="0" fillId="5" borderId="240" xfId="0" applyNumberFormat="1" applyFill="1" applyBorder="1"/>
    <xf numFmtId="165" fontId="21" fillId="5" borderId="127" xfId="0" applyNumberFormat="1" applyFont="1" applyFill="1" applyBorder="1" applyAlignment="1">
      <alignment horizontal="center"/>
    </xf>
    <xf numFmtId="165" fontId="0" fillId="0" borderId="146" xfId="0" applyNumberFormat="1" applyBorder="1" applyAlignment="1">
      <alignment horizontal="center"/>
    </xf>
    <xf numFmtId="165" fontId="0" fillId="0" borderId="147" xfId="0" applyNumberFormat="1" applyBorder="1" applyAlignment="1">
      <alignment horizontal="center"/>
    </xf>
    <xf numFmtId="165" fontId="0" fillId="0" borderId="148" xfId="0" applyNumberFormat="1" applyBorder="1" applyAlignment="1">
      <alignment horizontal="center"/>
    </xf>
    <xf numFmtId="165" fontId="37" fillId="5" borderId="0" xfId="0" applyNumberFormat="1" applyFont="1" applyFill="1"/>
    <xf numFmtId="172" fontId="0" fillId="0" borderId="0" xfId="0" applyNumberFormat="1"/>
    <xf numFmtId="173" fontId="0" fillId="0" borderId="0" xfId="0" applyNumberFormat="1"/>
    <xf numFmtId="174" fontId="0" fillId="22" borderId="229" xfId="6" applyNumberFormat="1" applyFont="1" applyFill="1" applyBorder="1" applyAlignment="1">
      <alignment horizontal="center" vertical="center"/>
    </xf>
    <xf numFmtId="174" fontId="0" fillId="22" borderId="0" xfId="6" applyNumberFormat="1" applyFont="1" applyFill="1" applyBorder="1" applyAlignment="1">
      <alignment horizontal="center" vertical="center"/>
    </xf>
    <xf numFmtId="168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39" fillId="0" borderId="0" xfId="9" applyFont="1" applyAlignment="1">
      <alignment horizontal="left" vertical="top" wrapText="1"/>
    </xf>
    <xf numFmtId="0" fontId="38" fillId="0" borderId="0" xfId="9" applyAlignment="1">
      <alignment vertical="center" wrapText="1"/>
    </xf>
    <xf numFmtId="0" fontId="38" fillId="0" borderId="0" xfId="9" applyAlignment="1">
      <alignment vertical="center"/>
    </xf>
    <xf numFmtId="0" fontId="39" fillId="0" borderId="0" xfId="9" applyFont="1" applyAlignment="1">
      <alignment vertical="top" wrapText="1"/>
    </xf>
    <xf numFmtId="168" fontId="24" fillId="0" borderId="0" xfId="0" applyNumberFormat="1" applyFont="1"/>
    <xf numFmtId="165" fontId="11" fillId="0" borderId="0" xfId="8" applyNumberFormat="1" applyFont="1" applyAlignment="1">
      <alignment vertical="top" wrapText="1"/>
    </xf>
    <xf numFmtId="165" fontId="38" fillId="0" borderId="0" xfId="9" applyNumberFormat="1" applyAlignment="1">
      <alignment vertical="center"/>
    </xf>
    <xf numFmtId="165" fontId="10" fillId="0" borderId="0" xfId="8" applyNumberFormat="1" applyAlignment="1">
      <alignment vertical="center"/>
    </xf>
    <xf numFmtId="10" fontId="13" fillId="17" borderId="174" xfId="7" applyNumberFormat="1" applyFont="1" applyFill="1" applyBorder="1" applyAlignment="1">
      <alignment horizontal="center" wrapText="1" readingOrder="1"/>
    </xf>
    <xf numFmtId="10" fontId="0" fillId="0" borderId="0" xfId="7" applyNumberFormat="1" applyFont="1"/>
    <xf numFmtId="0" fontId="11" fillId="0" borderId="0" xfId="8" applyFont="1" applyAlignment="1">
      <alignment horizontal="center" wrapText="1"/>
    </xf>
    <xf numFmtId="0" fontId="11" fillId="0" borderId="0" xfId="8" applyFont="1" applyAlignment="1">
      <alignment vertical="top" wrapText="1"/>
    </xf>
    <xf numFmtId="165" fontId="11" fillId="0" borderId="0" xfId="8" applyNumberFormat="1" applyFont="1" applyAlignment="1">
      <alignment horizontal="right" vertical="top"/>
    </xf>
    <xf numFmtId="0" fontId="38" fillId="0" borderId="0" xfId="9"/>
    <xf numFmtId="165" fontId="0" fillId="5" borderId="0" xfId="0" applyNumberFormat="1" applyFill="1"/>
    <xf numFmtId="170" fontId="10" fillId="0" borderId="0" xfId="8" applyNumberFormat="1"/>
    <xf numFmtId="0" fontId="10" fillId="0" borderId="201" xfId="8" applyBorder="1" applyAlignment="1">
      <alignment horizontal="center" vertical="center"/>
    </xf>
    <xf numFmtId="0" fontId="10" fillId="0" borderId="200" xfId="8" applyBorder="1" applyAlignment="1">
      <alignment horizontal="center" vertical="center"/>
    </xf>
    <xf numFmtId="0" fontId="11" fillId="0" borderId="198" xfId="8" applyFont="1" applyBorder="1" applyAlignment="1">
      <alignment horizontal="center" wrapText="1"/>
    </xf>
    <xf numFmtId="0" fontId="11" fillId="0" borderId="199" xfId="8" applyFont="1" applyBorder="1" applyAlignment="1">
      <alignment horizontal="center" wrapText="1"/>
    </xf>
    <xf numFmtId="0" fontId="11" fillId="0" borderId="242" xfId="8" applyFont="1" applyBorder="1" applyAlignment="1">
      <alignment horizontal="center" wrapText="1"/>
    </xf>
    <xf numFmtId="0" fontId="11" fillId="0" borderId="185" xfId="8" applyFont="1" applyBorder="1" applyAlignment="1">
      <alignment horizontal="center" wrapText="1"/>
    </xf>
    <xf numFmtId="168" fontId="0" fillId="22" borderId="269" xfId="0" applyNumberFormat="1" applyFill="1" applyBorder="1"/>
    <xf numFmtId="165" fontId="0" fillId="22" borderId="269" xfId="0" applyNumberFormat="1" applyFill="1" applyBorder="1"/>
    <xf numFmtId="168" fontId="0" fillId="22" borderId="270" xfId="0" applyNumberFormat="1" applyFill="1" applyBorder="1"/>
    <xf numFmtId="168" fontId="0" fillId="22" borderId="271" xfId="0" applyNumberFormat="1" applyFill="1" applyBorder="1"/>
    <xf numFmtId="165" fontId="40" fillId="22" borderId="272" xfId="0" applyNumberFormat="1" applyFont="1" applyFill="1" applyBorder="1"/>
    <xf numFmtId="165" fontId="40" fillId="22" borderId="240" xfId="0" applyNumberFormat="1" applyFont="1" applyFill="1" applyBorder="1"/>
    <xf numFmtId="165" fontId="0" fillId="22" borderId="146" xfId="0" applyNumberFormat="1" applyFill="1" applyBorder="1"/>
    <xf numFmtId="165" fontId="0" fillId="22" borderId="270" xfId="0" applyNumberFormat="1" applyFill="1" applyBorder="1"/>
    <xf numFmtId="165" fontId="0" fillId="22" borderId="272" xfId="0" applyNumberFormat="1" applyFill="1" applyBorder="1"/>
    <xf numFmtId="165" fontId="0" fillId="22" borderId="273" xfId="0" applyNumberFormat="1" applyFill="1" applyBorder="1"/>
    <xf numFmtId="165" fontId="0" fillId="22" borderId="274" xfId="0" applyNumberFormat="1" applyFill="1" applyBorder="1"/>
    <xf numFmtId="165" fontId="0" fillId="22" borderId="275" xfId="0" applyNumberFormat="1" applyFill="1" applyBorder="1"/>
    <xf numFmtId="168" fontId="0" fillId="22" borderId="276" xfId="0" applyNumberFormat="1" applyFill="1" applyBorder="1"/>
    <xf numFmtId="168" fontId="0" fillId="22" borderId="277" xfId="0" applyNumberFormat="1" applyFill="1" applyBorder="1"/>
    <xf numFmtId="165" fontId="0" fillId="0" borderId="272" xfId="0" applyNumberFormat="1" applyBorder="1"/>
    <xf numFmtId="165" fontId="0" fillId="0" borderId="240" xfId="0" applyNumberFormat="1" applyBorder="1"/>
    <xf numFmtId="0" fontId="21" fillId="0" borderId="274" xfId="0" applyFont="1" applyBorder="1" applyAlignment="1">
      <alignment horizontal="center"/>
    </xf>
    <xf numFmtId="168" fontId="0" fillId="22" borderId="278" xfId="0" applyNumberFormat="1" applyFill="1" applyBorder="1" applyAlignment="1">
      <alignment horizontal="center"/>
    </xf>
    <xf numFmtId="168" fontId="0" fillId="22" borderId="279" xfId="0" applyNumberFormat="1" applyFill="1" applyBorder="1" applyAlignment="1">
      <alignment horizontal="center"/>
    </xf>
    <xf numFmtId="165" fontId="0" fillId="11" borderId="178" xfId="0" applyNumberFormat="1" applyFill="1" applyBorder="1" applyAlignment="1">
      <alignment horizontal="center"/>
    </xf>
    <xf numFmtId="165" fontId="0" fillId="22" borderId="179" xfId="0" applyNumberFormat="1" applyFill="1" applyBorder="1" applyAlignment="1">
      <alignment horizontal="center" vertical="center"/>
    </xf>
    <xf numFmtId="168" fontId="0" fillId="22" borderId="179" xfId="0" applyNumberFormat="1" applyFill="1" applyBorder="1"/>
    <xf numFmtId="168" fontId="0" fillId="22" borderId="177" xfId="0" applyNumberFormat="1" applyFill="1" applyBorder="1"/>
    <xf numFmtId="165" fontId="0" fillId="11" borderId="280" xfId="0" applyNumberFormat="1" applyFill="1" applyBorder="1"/>
    <xf numFmtId="168" fontId="0" fillId="22" borderId="281" xfId="0" applyNumberFormat="1" applyFill="1" applyBorder="1"/>
    <xf numFmtId="168" fontId="0" fillId="22" borderId="282" xfId="0" applyNumberFormat="1" applyFill="1" applyBorder="1"/>
    <xf numFmtId="165" fontId="0" fillId="22" borderId="280" xfId="0" applyNumberFormat="1" applyFill="1" applyBorder="1"/>
    <xf numFmtId="165" fontId="0" fillId="22" borderId="282" xfId="0" applyNumberFormat="1" applyFill="1" applyBorder="1"/>
    <xf numFmtId="165" fontId="0" fillId="22" borderId="113" xfId="0" applyNumberFormat="1" applyFill="1" applyBorder="1"/>
    <xf numFmtId="165" fontId="0" fillId="5" borderId="283" xfId="0" applyNumberFormat="1" applyFill="1" applyBorder="1"/>
    <xf numFmtId="168" fontId="0" fillId="22" borderId="158" xfId="0" applyNumberFormat="1" applyFill="1" applyBorder="1"/>
    <xf numFmtId="168" fontId="0" fillId="22" borderId="159" xfId="0" applyNumberFormat="1" applyFill="1" applyBorder="1"/>
    <xf numFmtId="165" fontId="0" fillId="11" borderId="283" xfId="0" applyNumberFormat="1" applyFill="1" applyBorder="1"/>
    <xf numFmtId="168" fontId="0" fillId="11" borderId="283" xfId="0" applyNumberFormat="1" applyFill="1" applyBorder="1"/>
    <xf numFmtId="168" fontId="0" fillId="22" borderId="284" xfId="0" applyNumberFormat="1" applyFill="1" applyBorder="1"/>
    <xf numFmtId="165" fontId="0" fillId="0" borderId="285" xfId="0" applyNumberFormat="1" applyBorder="1"/>
    <xf numFmtId="165" fontId="0" fillId="11" borderId="282" xfId="0" applyNumberFormat="1" applyFill="1" applyBorder="1"/>
    <xf numFmtId="0" fontId="21" fillId="0" borderId="272" xfId="0" applyFont="1" applyBorder="1" applyAlignment="1">
      <alignment horizontal="center"/>
    </xf>
    <xf numFmtId="0" fontId="21" fillId="0" borderId="273" xfId="0" applyFont="1" applyBorder="1" applyAlignment="1">
      <alignment horizontal="center"/>
    </xf>
    <xf numFmtId="0" fontId="21" fillId="0" borderId="275" xfId="0" applyFont="1" applyBorder="1" applyAlignment="1">
      <alignment horizontal="center"/>
    </xf>
    <xf numFmtId="168" fontId="0" fillId="22" borderId="286" xfId="0" applyNumberFormat="1" applyFill="1" applyBorder="1" applyAlignment="1">
      <alignment horizontal="center"/>
    </xf>
    <xf numFmtId="168" fontId="0" fillId="22" borderId="287" xfId="0" applyNumberFormat="1" applyFill="1" applyBorder="1" applyAlignment="1">
      <alignment horizontal="center"/>
    </xf>
    <xf numFmtId="168" fontId="0" fillId="22" borderId="288" xfId="0" applyNumberFormat="1" applyFill="1" applyBorder="1" applyAlignment="1">
      <alignment horizontal="center"/>
    </xf>
    <xf numFmtId="168" fontId="0" fillId="22" borderId="127" xfId="0" applyNumberFormat="1" applyFill="1" applyBorder="1" applyAlignment="1">
      <alignment horizontal="center"/>
    </xf>
    <xf numFmtId="168" fontId="0" fillId="22" borderId="85" xfId="0" applyNumberFormat="1" applyFill="1" applyBorder="1" applyAlignment="1">
      <alignment horizontal="center" vertical="center"/>
    </xf>
    <xf numFmtId="168" fontId="0" fillId="22" borderId="55" xfId="0" applyNumberFormat="1" applyFill="1" applyBorder="1" applyAlignment="1">
      <alignment horizontal="center" vertical="center"/>
    </xf>
    <xf numFmtId="165" fontId="36" fillId="0" borderId="280" xfId="0" applyNumberFormat="1" applyFont="1" applyBorder="1"/>
    <xf numFmtId="165" fontId="36" fillId="0" borderId="289" xfId="0" applyNumberFormat="1" applyFont="1" applyBorder="1"/>
    <xf numFmtId="165" fontId="0" fillId="22" borderId="142" xfId="0" applyNumberFormat="1" applyFill="1" applyBorder="1"/>
    <xf numFmtId="165" fontId="0" fillId="22" borderId="129" xfId="0" applyNumberFormat="1" applyFill="1" applyBorder="1"/>
    <xf numFmtId="165" fontId="0" fillId="22" borderId="119" xfId="0" applyNumberFormat="1" applyFill="1" applyBorder="1"/>
    <xf numFmtId="165" fontId="0" fillId="5" borderId="290" xfId="0" applyNumberFormat="1" applyFill="1" applyBorder="1"/>
    <xf numFmtId="165" fontId="0" fillId="22" borderId="164" xfId="0" applyNumberFormat="1" applyFill="1" applyBorder="1"/>
    <xf numFmtId="165" fontId="0" fillId="11" borderId="290" xfId="0" applyNumberFormat="1" applyFill="1" applyBorder="1"/>
    <xf numFmtId="168" fontId="0" fillId="11" borderId="290" xfId="0" applyNumberFormat="1" applyFill="1" applyBorder="1"/>
    <xf numFmtId="165" fontId="0" fillId="11" borderId="289" xfId="0" applyNumberFormat="1" applyFill="1" applyBorder="1"/>
    <xf numFmtId="165" fontId="0" fillId="11" borderId="143" xfId="0" applyNumberFormat="1" applyFill="1" applyBorder="1"/>
    <xf numFmtId="0" fontId="11" fillId="0" borderId="0" xfId="8" applyFont="1" applyAlignment="1">
      <alignment horizontal="left" vertical="top" wrapText="1"/>
    </xf>
    <xf numFmtId="175" fontId="0" fillId="0" borderId="0" xfId="0" applyNumberFormat="1"/>
    <xf numFmtId="176" fontId="0" fillId="5" borderId="240" xfId="7" applyNumberFormat="1" applyFont="1" applyFill="1" applyBorder="1" applyAlignment="1">
      <alignment horizontal="center"/>
    </xf>
    <xf numFmtId="176" fontId="0" fillId="5" borderId="240" xfId="7" applyNumberFormat="1" applyFont="1" applyFill="1" applyBorder="1"/>
    <xf numFmtId="177" fontId="0" fillId="0" borderId="0" xfId="7" applyNumberFormat="1" applyFont="1" applyFill="1"/>
    <xf numFmtId="0" fontId="10" fillId="0" borderId="0" xfId="9" applyFont="1" applyAlignment="1">
      <alignment vertical="center"/>
    </xf>
    <xf numFmtId="0" fontId="11" fillId="0" borderId="0" xfId="9" applyFont="1" applyAlignment="1">
      <alignment wrapText="1"/>
    </xf>
    <xf numFmtId="0" fontId="11" fillId="0" borderId="293" xfId="8" applyFont="1" applyBorder="1" applyAlignment="1">
      <alignment horizontal="left" vertical="top" wrapText="1"/>
    </xf>
    <xf numFmtId="165" fontId="11" fillId="0" borderId="298" xfId="8" applyNumberFormat="1" applyFont="1" applyBorder="1" applyAlignment="1">
      <alignment horizontal="right" vertical="top"/>
    </xf>
    <xf numFmtId="165" fontId="11" fillId="0" borderId="299" xfId="8" applyNumberFormat="1" applyFont="1" applyBorder="1" applyAlignment="1">
      <alignment horizontal="right" vertical="top"/>
    </xf>
    <xf numFmtId="165" fontId="11" fillId="0" borderId="300" xfId="8" applyNumberFormat="1" applyFont="1" applyBorder="1" applyAlignment="1">
      <alignment horizontal="right" vertical="top"/>
    </xf>
    <xf numFmtId="0" fontId="11" fillId="0" borderId="0" xfId="9" applyFont="1" applyAlignment="1">
      <alignment horizontal="center" wrapText="1"/>
    </xf>
    <xf numFmtId="165" fontId="10" fillId="0" borderId="0" xfId="9" applyNumberFormat="1" applyFont="1" applyAlignment="1">
      <alignment vertical="center"/>
    </xf>
    <xf numFmtId="0" fontId="11" fillId="0" borderId="0" xfId="9" applyFont="1" applyAlignment="1">
      <alignment vertical="top" wrapText="1"/>
    </xf>
    <xf numFmtId="0" fontId="11" fillId="0" borderId="0" xfId="9" applyFont="1" applyAlignment="1">
      <alignment horizontal="left" vertical="top" wrapText="1"/>
    </xf>
    <xf numFmtId="165" fontId="11" fillId="0" borderId="0" xfId="9" applyNumberFormat="1" applyFont="1" applyAlignment="1">
      <alignment horizontal="right" vertical="top"/>
    </xf>
    <xf numFmtId="0" fontId="11" fillId="20" borderId="107" xfId="8" applyFont="1" applyFill="1" applyBorder="1" applyAlignment="1">
      <alignment horizontal="left" vertical="top" wrapText="1"/>
    </xf>
    <xf numFmtId="165" fontId="11" fillId="20" borderId="305" xfId="8" applyNumberFormat="1" applyFont="1" applyFill="1" applyBorder="1" applyAlignment="1">
      <alignment horizontal="right" vertical="top"/>
    </xf>
    <xf numFmtId="165" fontId="11" fillId="20" borderId="110" xfId="8" applyNumberFormat="1" applyFont="1" applyFill="1" applyBorder="1" applyAlignment="1">
      <alignment horizontal="right" vertical="top"/>
    </xf>
    <xf numFmtId="165" fontId="11" fillId="20" borderId="306" xfId="8" applyNumberFormat="1" applyFont="1" applyFill="1" applyBorder="1" applyAlignment="1">
      <alignment horizontal="right" vertical="top"/>
    </xf>
    <xf numFmtId="0" fontId="11" fillId="26" borderId="293" xfId="8" applyFont="1" applyFill="1" applyBorder="1" applyAlignment="1">
      <alignment horizontal="left" vertical="top" wrapText="1"/>
    </xf>
    <xf numFmtId="165" fontId="11" fillId="26" borderId="298" xfId="8" applyNumberFormat="1" applyFont="1" applyFill="1" applyBorder="1" applyAlignment="1">
      <alignment horizontal="right" vertical="top"/>
    </xf>
    <xf numFmtId="165" fontId="11" fillId="26" borderId="299" xfId="8" applyNumberFormat="1" applyFont="1" applyFill="1" applyBorder="1" applyAlignment="1">
      <alignment horizontal="right" vertical="top"/>
    </xf>
    <xf numFmtId="165" fontId="11" fillId="26" borderId="300" xfId="8" applyNumberFormat="1" applyFont="1" applyFill="1" applyBorder="1" applyAlignment="1">
      <alignment horizontal="right" vertical="top"/>
    </xf>
    <xf numFmtId="10" fontId="24" fillId="0" borderId="0" xfId="7" applyNumberFormat="1" applyFont="1" applyFill="1"/>
    <xf numFmtId="176" fontId="19" fillId="23" borderId="148" xfId="7" applyNumberFormat="1" applyFont="1" applyFill="1" applyBorder="1" applyAlignment="1">
      <alignment horizontal="center" wrapText="1" readingOrder="1"/>
    </xf>
    <xf numFmtId="176" fontId="19" fillId="12" borderId="307" xfId="7" applyNumberFormat="1" applyFont="1" applyFill="1" applyBorder="1" applyAlignment="1">
      <alignment horizontal="center" wrapText="1" readingOrder="1"/>
    </xf>
    <xf numFmtId="0" fontId="13" fillId="28" borderId="55" xfId="0" applyFont="1" applyFill="1" applyBorder="1" applyAlignment="1">
      <alignment horizontal="center" wrapText="1" readingOrder="1"/>
    </xf>
    <xf numFmtId="0" fontId="13" fillId="28" borderId="56" xfId="0" applyFont="1" applyFill="1" applyBorder="1" applyAlignment="1">
      <alignment horizontal="center" wrapText="1" readingOrder="1"/>
    </xf>
    <xf numFmtId="0" fontId="13" fillId="28" borderId="57" xfId="0" applyFont="1" applyFill="1" applyBorder="1" applyAlignment="1">
      <alignment horizontal="center" wrapText="1" readingOrder="1"/>
    </xf>
    <xf numFmtId="0" fontId="13" fillId="29" borderId="55" xfId="0" applyFont="1" applyFill="1" applyBorder="1" applyAlignment="1">
      <alignment horizontal="center" wrapText="1" readingOrder="1"/>
    </xf>
    <xf numFmtId="0" fontId="13" fillId="29" borderId="56" xfId="0" applyFont="1" applyFill="1" applyBorder="1" applyAlignment="1">
      <alignment horizontal="center" wrapText="1" readingOrder="1"/>
    </xf>
    <xf numFmtId="0" fontId="13" fillId="29" borderId="57" xfId="0" applyFont="1" applyFill="1" applyBorder="1" applyAlignment="1">
      <alignment horizontal="center" wrapText="1" readingOrder="1"/>
    </xf>
    <xf numFmtId="0" fontId="37" fillId="0" borderId="0" xfId="0" applyFont="1"/>
    <xf numFmtId="176" fontId="0" fillId="0" borderId="0" xfId="7" applyNumberFormat="1" applyFont="1"/>
    <xf numFmtId="176" fontId="13" fillId="11" borderId="174" xfId="7" applyNumberFormat="1" applyFont="1" applyFill="1" applyBorder="1" applyAlignment="1">
      <alignment horizontal="center" wrapText="1" readingOrder="1"/>
    </xf>
    <xf numFmtId="0" fontId="11" fillId="0" borderId="184" xfId="4" applyFont="1" applyBorder="1" applyAlignment="1">
      <alignment horizontal="center" wrapText="1"/>
    </xf>
    <xf numFmtId="0" fontId="11" fillId="0" borderId="185" xfId="4" applyFont="1" applyBorder="1" applyAlignment="1">
      <alignment horizontal="center" wrapText="1"/>
    </xf>
    <xf numFmtId="0" fontId="11" fillId="0" borderId="186" xfId="4" applyFont="1" applyBorder="1" applyAlignment="1">
      <alignment horizontal="center" wrapText="1"/>
    </xf>
    <xf numFmtId="0" fontId="11" fillId="0" borderId="187" xfId="4" applyFont="1" applyBorder="1" applyAlignment="1">
      <alignment horizontal="center" wrapText="1"/>
    </xf>
    <xf numFmtId="0" fontId="11" fillId="0" borderId="188" xfId="4" applyFont="1" applyBorder="1" applyAlignment="1">
      <alignment horizontal="center" wrapText="1"/>
    </xf>
    <xf numFmtId="0" fontId="11" fillId="0" borderId="189" xfId="4" applyFont="1" applyBorder="1" applyAlignment="1">
      <alignment horizontal="center" wrapText="1"/>
    </xf>
    <xf numFmtId="0" fontId="11" fillId="26" borderId="108" xfId="4" applyFont="1" applyFill="1" applyBorder="1" applyAlignment="1">
      <alignment horizontal="left" vertical="top"/>
    </xf>
    <xf numFmtId="165" fontId="11" fillId="26" borderId="110" xfId="4" applyNumberFormat="1" applyFont="1" applyFill="1" applyBorder="1" applyAlignment="1">
      <alignment horizontal="right" vertical="top"/>
    </xf>
    <xf numFmtId="165" fontId="11" fillId="26" borderId="313" xfId="4" applyNumberFormat="1" applyFont="1" applyFill="1" applyBorder="1" applyAlignment="1">
      <alignment horizontal="right" vertical="top"/>
    </xf>
    <xf numFmtId="165" fontId="11" fillId="26" borderId="109" xfId="4" applyNumberFormat="1" applyFont="1" applyFill="1" applyBorder="1" applyAlignment="1">
      <alignment horizontal="right" vertical="top"/>
    </xf>
    <xf numFmtId="0" fontId="11" fillId="26" borderId="32" xfId="4" applyFont="1" applyFill="1" applyBorder="1" applyAlignment="1">
      <alignment horizontal="left" vertical="top"/>
    </xf>
    <xf numFmtId="165" fontId="11" fillId="26" borderId="34" xfId="4" applyNumberFormat="1" applyFont="1" applyFill="1" applyBorder="1" applyAlignment="1">
      <alignment horizontal="right" vertical="top"/>
    </xf>
    <xf numFmtId="165" fontId="11" fillId="26" borderId="216" xfId="4" applyNumberFormat="1" applyFont="1" applyFill="1" applyBorder="1" applyAlignment="1">
      <alignment horizontal="right" vertical="top"/>
    </xf>
    <xf numFmtId="165" fontId="11" fillId="26" borderId="33" xfId="4" applyNumberFormat="1" applyFont="1" applyFill="1" applyBorder="1" applyAlignment="1">
      <alignment horizontal="right" vertical="top"/>
    </xf>
    <xf numFmtId="0" fontId="11" fillId="26" borderId="115" xfId="4" applyFont="1" applyFill="1" applyBorder="1" applyAlignment="1">
      <alignment horizontal="left" vertical="top"/>
    </xf>
    <xf numFmtId="165" fontId="11" fillId="26" borderId="117" xfId="4" applyNumberFormat="1" applyFont="1" applyFill="1" applyBorder="1" applyAlignment="1">
      <alignment horizontal="right" vertical="top"/>
    </xf>
    <xf numFmtId="165" fontId="11" fillId="26" borderId="217" xfId="4" applyNumberFormat="1" applyFont="1" applyFill="1" applyBorder="1" applyAlignment="1">
      <alignment horizontal="right" vertical="top"/>
    </xf>
    <xf numFmtId="165" fontId="11" fillId="26" borderId="116" xfId="4" applyNumberFormat="1" applyFont="1" applyFill="1" applyBorder="1" applyAlignment="1">
      <alignment horizontal="right" vertical="top"/>
    </xf>
    <xf numFmtId="165" fontId="36" fillId="0" borderId="112" xfId="0" applyNumberFormat="1" applyFont="1" applyBorder="1" applyAlignment="1">
      <alignment horizontal="center"/>
    </xf>
    <xf numFmtId="165" fontId="11" fillId="0" borderId="314" xfId="8" applyNumberFormat="1" applyFont="1" applyBorder="1" applyAlignment="1">
      <alignment horizontal="right" vertical="top"/>
    </xf>
    <xf numFmtId="165" fontId="11" fillId="0" borderId="314" xfId="4" applyNumberFormat="1" applyFont="1" applyBorder="1" applyAlignment="1">
      <alignment horizontal="right" vertical="top"/>
    </xf>
    <xf numFmtId="165" fontId="11" fillId="0" borderId="315" xfId="4" applyNumberFormat="1" applyFont="1" applyBorder="1" applyAlignment="1">
      <alignment horizontal="right" vertical="top"/>
    </xf>
    <xf numFmtId="165" fontId="11" fillId="0" borderId="316" xfId="8" applyNumberFormat="1" applyFont="1" applyBorder="1" applyAlignment="1">
      <alignment horizontal="right" vertical="top"/>
    </xf>
    <xf numFmtId="165" fontId="11" fillId="0" borderId="110" xfId="8" applyNumberFormat="1" applyFont="1" applyBorder="1" applyAlignment="1">
      <alignment horizontal="right" vertical="top"/>
    </xf>
    <xf numFmtId="165" fontId="11" fillId="0" borderId="317" xfId="8" applyNumberFormat="1" applyFont="1" applyBorder="1" applyAlignment="1">
      <alignment horizontal="right" vertical="top"/>
    </xf>
    <xf numFmtId="165" fontId="11" fillId="0" borderId="245" xfId="8" applyNumberFormat="1" applyFont="1" applyBorder="1" applyAlignment="1">
      <alignment horizontal="right" vertical="top"/>
    </xf>
    <xf numFmtId="165" fontId="11" fillId="0" borderId="216" xfId="8" applyNumberFormat="1" applyFont="1" applyBorder="1" applyAlignment="1">
      <alignment horizontal="right" vertical="top"/>
    </xf>
    <xf numFmtId="165" fontId="11" fillId="0" borderId="245" xfId="4" applyNumberFormat="1" applyFont="1" applyBorder="1" applyAlignment="1">
      <alignment horizontal="right" vertical="top"/>
    </xf>
    <xf numFmtId="165" fontId="11" fillId="0" borderId="216" xfId="4" applyNumberFormat="1" applyFont="1" applyBorder="1" applyAlignment="1">
      <alignment horizontal="right" vertical="top"/>
    </xf>
    <xf numFmtId="165" fontId="11" fillId="0" borderId="246" xfId="4" applyNumberFormat="1" applyFont="1" applyBorder="1" applyAlignment="1">
      <alignment horizontal="right" vertical="top"/>
    </xf>
    <xf numFmtId="165" fontId="11" fillId="0" borderId="117" xfId="4" applyNumberFormat="1" applyFont="1" applyBorder="1" applyAlignment="1">
      <alignment horizontal="right" vertical="top"/>
    </xf>
    <xf numFmtId="165" fontId="11" fillId="0" borderId="217" xfId="4" applyNumberFormat="1" applyFont="1" applyBorder="1" applyAlignment="1">
      <alignment horizontal="right" vertical="top"/>
    </xf>
    <xf numFmtId="0" fontId="10" fillId="0" borderId="0" xfId="10"/>
    <xf numFmtId="0" fontId="11" fillId="0" borderId="0" xfId="10" applyFont="1" applyAlignment="1">
      <alignment wrapText="1"/>
    </xf>
    <xf numFmtId="0" fontId="11" fillId="0" borderId="0" xfId="10" applyFont="1" applyAlignment="1">
      <alignment vertical="top" wrapText="1"/>
    </xf>
    <xf numFmtId="0" fontId="11" fillId="0" borderId="0" xfId="10" applyFont="1" applyAlignment="1">
      <alignment vertical="top"/>
    </xf>
    <xf numFmtId="0" fontId="11" fillId="0" borderId="0" xfId="10" applyFont="1" applyAlignment="1">
      <alignment horizontal="center" wrapText="1"/>
    </xf>
    <xf numFmtId="0" fontId="11" fillId="0" borderId="0" xfId="10" applyFont="1" applyAlignment="1">
      <alignment horizontal="left" vertical="top"/>
    </xf>
    <xf numFmtId="165" fontId="11" fillId="0" borderId="0" xfId="10" applyNumberFormat="1" applyFont="1" applyAlignment="1">
      <alignment horizontal="right" vertical="top"/>
    </xf>
    <xf numFmtId="0" fontId="11" fillId="0" borderId="0" xfId="10" applyFont="1" applyAlignment="1">
      <alignment horizontal="left" vertical="top" wrapText="1"/>
    </xf>
    <xf numFmtId="174" fontId="13" fillId="11" borderId="174" xfId="6" applyNumberFormat="1" applyFont="1" applyFill="1" applyBorder="1" applyAlignment="1">
      <alignment horizontal="center" wrapText="1" readingOrder="1"/>
    </xf>
    <xf numFmtId="174" fontId="13" fillId="29" borderId="174" xfId="6" applyNumberFormat="1" applyFont="1" applyFill="1" applyBorder="1" applyAlignment="1">
      <alignment horizontal="center" wrapText="1" readingOrder="1"/>
    </xf>
    <xf numFmtId="174" fontId="13" fillId="28" borderId="174" xfId="6" applyNumberFormat="1" applyFont="1" applyFill="1" applyBorder="1" applyAlignment="1">
      <alignment horizontal="center" wrapText="1" readingOrder="1"/>
    </xf>
    <xf numFmtId="174" fontId="4" fillId="18" borderId="174" xfId="6" applyNumberFormat="1" applyFont="1" applyFill="1" applyBorder="1" applyAlignment="1">
      <alignment horizontal="center" wrapText="1" readingOrder="1"/>
    </xf>
    <xf numFmtId="174" fontId="13" fillId="5" borderId="174" xfId="6" applyNumberFormat="1" applyFont="1" applyFill="1" applyBorder="1" applyAlignment="1">
      <alignment horizontal="center" wrapText="1" readingOrder="1"/>
    </xf>
    <xf numFmtId="168" fontId="23" fillId="0" borderId="0" xfId="0" applyNumberFormat="1" applyFont="1"/>
    <xf numFmtId="171" fontId="43" fillId="0" borderId="0" xfId="0" applyNumberFormat="1" applyFont="1"/>
    <xf numFmtId="168" fontId="21" fillId="5" borderId="122" xfId="0" applyNumberFormat="1" applyFont="1" applyFill="1" applyBorder="1" applyAlignment="1">
      <alignment horizontal="center"/>
    </xf>
    <xf numFmtId="176" fontId="42" fillId="11" borderId="174" xfId="7" applyNumberFormat="1" applyFont="1" applyFill="1" applyBorder="1" applyAlignment="1">
      <alignment horizontal="center" wrapText="1" readingOrder="1"/>
    </xf>
    <xf numFmtId="168" fontId="37" fillId="0" borderId="0" xfId="0" applyNumberFormat="1" applyFont="1" applyAlignment="1">
      <alignment horizontal="center"/>
    </xf>
    <xf numFmtId="165" fontId="37" fillId="0" borderId="0" xfId="0" applyNumberFormat="1" applyFont="1"/>
    <xf numFmtId="165" fontId="44" fillId="22" borderId="143" xfId="0" applyNumberFormat="1" applyFont="1" applyFill="1" applyBorder="1"/>
    <xf numFmtId="165" fontId="44" fillId="22" borderId="113" xfId="0" applyNumberFormat="1" applyFont="1" applyFill="1" applyBorder="1"/>
    <xf numFmtId="165" fontId="44" fillId="22" borderId="144" xfId="0" applyNumberFormat="1" applyFont="1" applyFill="1" applyBorder="1"/>
    <xf numFmtId="165" fontId="44" fillId="22" borderId="145" xfId="0" applyNumberFormat="1" applyFont="1" applyFill="1" applyBorder="1"/>
    <xf numFmtId="174" fontId="45" fillId="5" borderId="174" xfId="6" applyNumberFormat="1" applyFont="1" applyFill="1" applyBorder="1" applyAlignment="1">
      <alignment horizontal="center" wrapText="1" readingOrder="1"/>
    </xf>
    <xf numFmtId="176" fontId="46" fillId="11" borderId="174" xfId="7" applyNumberFormat="1" applyFont="1" applyFill="1" applyBorder="1" applyAlignment="1">
      <alignment horizontal="center" wrapText="1" readingOrder="1"/>
    </xf>
    <xf numFmtId="176" fontId="0" fillId="5" borderId="163" xfId="7" applyNumberFormat="1" applyFont="1" applyFill="1" applyBorder="1"/>
    <xf numFmtId="176" fontId="0" fillId="0" borderId="163" xfId="7" applyNumberFormat="1" applyFont="1" applyFill="1" applyBorder="1"/>
    <xf numFmtId="176" fontId="0" fillId="30" borderId="163" xfId="7" applyNumberFormat="1" applyFont="1" applyFill="1" applyBorder="1"/>
    <xf numFmtId="176" fontId="37" fillId="5" borderId="163" xfId="7" applyNumberFormat="1" applyFont="1" applyFill="1" applyBorder="1"/>
    <xf numFmtId="0" fontId="11" fillId="0" borderId="0" xfId="4" applyFont="1" applyAlignment="1">
      <alignment horizontal="center" wrapText="1"/>
    </xf>
    <xf numFmtId="0" fontId="18" fillId="9" borderId="328" xfId="0" applyFont="1" applyFill="1" applyBorder="1" applyAlignment="1">
      <alignment wrapText="1"/>
    </xf>
    <xf numFmtId="0" fontId="19" fillId="0" borderId="325" xfId="0" applyFont="1" applyBorder="1" applyAlignment="1">
      <alignment horizontal="left" wrapText="1" readingOrder="1"/>
    </xf>
    <xf numFmtId="0" fontId="19" fillId="0" borderId="326" xfId="0" applyFont="1" applyBorder="1" applyAlignment="1">
      <alignment horizontal="left" wrapText="1" readingOrder="1"/>
    </xf>
    <xf numFmtId="0" fontId="19" fillId="0" borderId="327" xfId="0" applyFont="1" applyBorder="1" applyAlignment="1">
      <alignment horizontal="left" wrapText="1" readingOrder="1"/>
    </xf>
    <xf numFmtId="0" fontId="18" fillId="9" borderId="0" xfId="0" applyFont="1" applyFill="1" applyAlignment="1">
      <alignment wrapText="1"/>
    </xf>
    <xf numFmtId="3" fontId="7" fillId="0" borderId="322" xfId="0" applyNumberFormat="1" applyFont="1" applyBorder="1" applyAlignment="1">
      <alignment horizontal="center" wrapText="1" readingOrder="1"/>
    </xf>
    <xf numFmtId="3" fontId="7" fillId="0" borderId="320" xfId="0" applyNumberFormat="1" applyFont="1" applyBorder="1" applyAlignment="1">
      <alignment horizontal="center" wrapText="1" readingOrder="1"/>
    </xf>
    <xf numFmtId="3" fontId="7" fillId="0" borderId="321" xfId="0" applyNumberFormat="1" applyFont="1" applyBorder="1" applyAlignment="1">
      <alignment horizontal="center" wrapText="1" readingOrder="1"/>
    </xf>
    <xf numFmtId="3" fontId="7" fillId="0" borderId="52" xfId="0" applyNumberFormat="1" applyFont="1" applyBorder="1" applyAlignment="1">
      <alignment horizontal="center" wrapText="1" readingOrder="1"/>
    </xf>
    <xf numFmtId="3" fontId="7" fillId="0" borderId="53" xfId="0" applyNumberFormat="1" applyFont="1" applyBorder="1" applyAlignment="1">
      <alignment horizontal="center" wrapText="1" readingOrder="1"/>
    </xf>
    <xf numFmtId="3" fontId="7" fillId="0" borderId="155" xfId="0" applyNumberFormat="1" applyFont="1" applyBorder="1" applyAlignment="1">
      <alignment horizontal="center" wrapText="1" readingOrder="1"/>
    </xf>
    <xf numFmtId="3" fontId="7" fillId="0" borderId="345" xfId="0" applyNumberFormat="1" applyFont="1" applyBorder="1" applyAlignment="1">
      <alignment horizontal="center" wrapText="1" readingOrder="1"/>
    </xf>
    <xf numFmtId="3" fontId="7" fillId="0" borderId="319" xfId="0" applyNumberFormat="1" applyFont="1" applyBorder="1" applyAlignment="1">
      <alignment horizontal="center" wrapText="1" readingOrder="1"/>
    </xf>
    <xf numFmtId="3" fontId="7" fillId="0" borderId="323" xfId="0" applyNumberFormat="1" applyFont="1" applyBorder="1" applyAlignment="1">
      <alignment horizontal="center" wrapText="1" readingOrder="1"/>
    </xf>
    <xf numFmtId="3" fontId="7" fillId="0" borderId="76" xfId="0" applyNumberFormat="1" applyFont="1" applyBorder="1" applyAlignment="1">
      <alignment horizontal="center" wrapText="1" readingOrder="1"/>
    </xf>
    <xf numFmtId="3" fontId="7" fillId="0" borderId="82" xfId="0" applyNumberFormat="1" applyFont="1" applyBorder="1" applyAlignment="1">
      <alignment horizontal="center" wrapText="1" readingOrder="1"/>
    </xf>
    <xf numFmtId="3" fontId="7" fillId="0" borderId="85" xfId="0" applyNumberFormat="1" applyFont="1" applyBorder="1" applyAlignment="1">
      <alignment horizontal="center" wrapText="1" readingOrder="1"/>
    </xf>
    <xf numFmtId="3" fontId="7" fillId="0" borderId="86" xfId="0" applyNumberFormat="1" applyFont="1" applyBorder="1" applyAlignment="1">
      <alignment horizontal="center" wrapText="1" readingOrder="1"/>
    </xf>
    <xf numFmtId="3" fontId="7" fillId="0" borderId="87" xfId="0" applyNumberFormat="1" applyFont="1" applyBorder="1" applyAlignment="1">
      <alignment horizontal="center" wrapText="1" readingOrder="1"/>
    </xf>
    <xf numFmtId="3" fontId="7" fillId="0" borderId="346" xfId="0" applyNumberFormat="1" applyFont="1" applyBorder="1" applyAlignment="1">
      <alignment horizontal="center" wrapText="1" readingOrder="1"/>
    </xf>
    <xf numFmtId="3" fontId="7" fillId="0" borderId="347" xfId="0" applyNumberFormat="1" applyFont="1" applyBorder="1" applyAlignment="1">
      <alignment horizontal="center" wrapText="1" readingOrder="1"/>
    </xf>
    <xf numFmtId="3" fontId="7" fillId="0" borderId="338" xfId="0" applyNumberFormat="1" applyFont="1" applyBorder="1" applyAlignment="1">
      <alignment horizontal="center" wrapText="1" readingOrder="1"/>
    </xf>
    <xf numFmtId="3" fontId="7" fillId="0" borderId="324" xfId="0" applyNumberFormat="1" applyFont="1" applyBorder="1" applyAlignment="1">
      <alignment horizontal="center" wrapText="1" readingOrder="1"/>
    </xf>
    <xf numFmtId="3" fontId="7" fillId="0" borderId="79" xfId="0" applyNumberFormat="1" applyFont="1" applyBorder="1" applyAlignment="1">
      <alignment horizontal="center" wrapText="1" readingOrder="1"/>
    </xf>
    <xf numFmtId="3" fontId="7" fillId="0" borderId="83" xfId="0" applyNumberFormat="1" applyFont="1" applyBorder="1" applyAlignment="1">
      <alignment horizontal="center" wrapText="1" readingOrder="1"/>
    </xf>
    <xf numFmtId="3" fontId="7" fillId="0" borderId="55" xfId="0" applyNumberFormat="1" applyFont="1" applyBorder="1" applyAlignment="1">
      <alignment horizontal="center" wrapText="1" readingOrder="1"/>
    </xf>
    <xf numFmtId="3" fontId="7" fillId="0" borderId="56" xfId="0" applyNumberFormat="1" applyFont="1" applyBorder="1" applyAlignment="1">
      <alignment horizontal="center" wrapText="1" readingOrder="1"/>
    </xf>
    <xf numFmtId="3" fontId="7" fillId="0" borderId="57" xfId="0" applyNumberFormat="1" applyFont="1" applyBorder="1" applyAlignment="1">
      <alignment horizontal="center" wrapText="1" readingOrder="1"/>
    </xf>
    <xf numFmtId="3" fontId="7" fillId="0" borderId="339" xfId="0" applyNumberFormat="1" applyFont="1" applyBorder="1" applyAlignment="1">
      <alignment horizontal="center" wrapText="1" readingOrder="1"/>
    </xf>
    <xf numFmtId="0" fontId="7" fillId="9" borderId="328" xfId="0" applyFont="1" applyFill="1" applyBorder="1" applyAlignment="1">
      <alignment wrapText="1"/>
    </xf>
    <xf numFmtId="0" fontId="49" fillId="9" borderId="328" xfId="0" applyFont="1" applyFill="1" applyBorder="1" applyAlignment="1">
      <alignment wrapText="1"/>
    </xf>
    <xf numFmtId="174" fontId="0" fillId="0" borderId="0" xfId="6" applyNumberFormat="1" applyFont="1"/>
    <xf numFmtId="176" fontId="0" fillId="0" borderId="0" xfId="7" applyNumberFormat="1" applyFont="1" applyFill="1" applyAlignment="1">
      <alignment horizontal="center"/>
    </xf>
    <xf numFmtId="0" fontId="42" fillId="0" borderId="327" xfId="0" applyFont="1" applyBorder="1" applyAlignment="1">
      <alignment horizontal="left" wrapText="1" readingOrder="1"/>
    </xf>
    <xf numFmtId="3" fontId="7" fillId="0" borderId="332" xfId="0" applyNumberFormat="1" applyFont="1" applyBorder="1" applyAlignment="1">
      <alignment horizontal="center" wrapText="1" readingOrder="1"/>
    </xf>
    <xf numFmtId="3" fontId="7" fillId="0" borderId="333" xfId="0" applyNumberFormat="1" applyFont="1" applyBorder="1" applyAlignment="1">
      <alignment horizontal="center" wrapText="1" readingOrder="1"/>
    </xf>
    <xf numFmtId="3" fontId="7" fillId="0" borderId="334" xfId="0" applyNumberFormat="1" applyFont="1" applyBorder="1" applyAlignment="1">
      <alignment horizontal="center" wrapText="1" readingOrder="1"/>
    </xf>
    <xf numFmtId="3" fontId="42" fillId="0" borderId="335" xfId="0" applyNumberFormat="1" applyFont="1" applyBorder="1" applyAlignment="1">
      <alignment horizontal="center" wrapText="1" readingOrder="1"/>
    </xf>
    <xf numFmtId="3" fontId="42" fillId="0" borderId="336" xfId="0" applyNumberFormat="1" applyFont="1" applyBorder="1" applyAlignment="1">
      <alignment horizontal="center" wrapText="1" readingOrder="1"/>
    </xf>
    <xf numFmtId="3" fontId="42" fillId="0" borderId="337" xfId="0" applyNumberFormat="1" applyFont="1" applyBorder="1" applyAlignment="1">
      <alignment horizontal="center" wrapText="1" readingOrder="1"/>
    </xf>
    <xf numFmtId="3" fontId="42" fillId="0" borderId="324" xfId="0" applyNumberFormat="1" applyFont="1" applyBorder="1" applyAlignment="1">
      <alignment horizontal="center" wrapText="1" readingOrder="1"/>
    </xf>
    <xf numFmtId="3" fontId="42" fillId="0" borderId="83" xfId="0" applyNumberFormat="1" applyFont="1" applyBorder="1" applyAlignment="1">
      <alignment horizontal="center" wrapText="1" readingOrder="1"/>
    </xf>
    <xf numFmtId="0" fontId="4" fillId="3" borderId="2" xfId="0" applyFont="1" applyFill="1" applyBorder="1" applyAlignment="1">
      <alignment horizontal="center" wrapText="1" readingOrder="1"/>
    </xf>
    <xf numFmtId="0" fontId="4" fillId="3" borderId="3" xfId="0" applyFont="1" applyFill="1" applyBorder="1" applyAlignment="1">
      <alignment horizontal="center" wrapText="1" readingOrder="1"/>
    </xf>
    <xf numFmtId="0" fontId="4" fillId="3" borderId="4" xfId="0" applyFont="1" applyFill="1" applyBorder="1" applyAlignment="1">
      <alignment horizontal="center" wrapText="1" readingOrder="1"/>
    </xf>
    <xf numFmtId="0" fontId="4" fillId="3" borderId="5" xfId="0" applyFont="1" applyFill="1" applyBorder="1" applyAlignment="1">
      <alignment horizontal="center" wrapText="1" readingOrder="1"/>
    </xf>
    <xf numFmtId="0" fontId="4" fillId="3" borderId="6" xfId="0" applyFont="1" applyFill="1" applyBorder="1" applyAlignment="1">
      <alignment horizontal="center" wrapText="1" readingOrder="1"/>
    </xf>
    <xf numFmtId="0" fontId="4" fillId="3" borderId="7" xfId="0" applyFont="1" applyFill="1" applyBorder="1" applyAlignment="1">
      <alignment horizontal="center" wrapText="1" readingOrder="1"/>
    </xf>
    <xf numFmtId="0" fontId="4" fillId="3" borderId="70" xfId="0" applyFont="1" applyFill="1" applyBorder="1" applyAlignment="1">
      <alignment horizontal="center" wrapText="1" readingOrder="1"/>
    </xf>
    <xf numFmtId="0" fontId="4" fillId="3" borderId="17" xfId="0" applyFont="1" applyFill="1" applyBorder="1" applyAlignment="1">
      <alignment horizontal="center" wrapText="1" readingOrder="1"/>
    </xf>
    <xf numFmtId="0" fontId="4" fillId="3" borderId="71" xfId="0" applyFont="1" applyFill="1" applyBorder="1" applyAlignment="1">
      <alignment horizontal="center" wrapText="1" readingOrder="1"/>
    </xf>
    <xf numFmtId="0" fontId="4" fillId="3" borderId="103" xfId="0" applyFont="1" applyFill="1" applyBorder="1" applyAlignment="1">
      <alignment horizontal="center" wrapText="1" readingOrder="1"/>
    </xf>
    <xf numFmtId="0" fontId="4" fillId="3" borderId="104" xfId="0" applyFont="1" applyFill="1" applyBorder="1" applyAlignment="1">
      <alignment horizontal="center" wrapText="1" readingOrder="1"/>
    </xf>
    <xf numFmtId="0" fontId="4" fillId="3" borderId="105" xfId="0" applyFont="1" applyFill="1" applyBorder="1" applyAlignment="1">
      <alignment horizontal="center" wrapText="1" readingOrder="1"/>
    </xf>
    <xf numFmtId="0" fontId="4" fillId="3" borderId="52" xfId="0" applyFont="1" applyFill="1" applyBorder="1" applyAlignment="1">
      <alignment horizontal="center" wrapText="1" readingOrder="1"/>
    </xf>
    <xf numFmtId="0" fontId="4" fillId="3" borderId="53" xfId="0" applyFont="1" applyFill="1" applyBorder="1" applyAlignment="1">
      <alignment horizontal="center" wrapText="1" readingOrder="1"/>
    </xf>
    <xf numFmtId="0" fontId="4" fillId="3" borderId="54" xfId="0" applyFont="1" applyFill="1" applyBorder="1" applyAlignment="1">
      <alignment horizontal="center" wrapText="1" readingOrder="1"/>
    </xf>
    <xf numFmtId="0" fontId="27" fillId="9" borderId="0" xfId="0" applyFont="1" applyFill="1" applyAlignment="1">
      <alignment horizontal="center"/>
    </xf>
    <xf numFmtId="0" fontId="11" fillId="0" borderId="50" xfId="2" applyFont="1" applyBorder="1" applyAlignment="1">
      <alignment horizontal="center" wrapText="1"/>
    </xf>
    <xf numFmtId="0" fontId="11" fillId="0" borderId="48" xfId="2" applyFont="1" applyBorder="1" applyAlignment="1">
      <alignment horizontal="center" wrapText="1"/>
    </xf>
    <xf numFmtId="0" fontId="11" fillId="0" borderId="26" xfId="2" applyFont="1" applyBorder="1" applyAlignment="1">
      <alignment horizontal="left" vertical="top" wrapText="1"/>
    </xf>
    <xf numFmtId="0" fontId="11" fillId="0" borderId="31" xfId="2" applyFont="1" applyBorder="1" applyAlignment="1">
      <alignment horizontal="left" vertical="top" wrapText="1"/>
    </xf>
    <xf numFmtId="0" fontId="11" fillId="0" borderId="36" xfId="2" applyFont="1" applyBorder="1" applyAlignment="1">
      <alignment horizontal="left" vertical="top" wrapText="1"/>
    </xf>
    <xf numFmtId="0" fontId="11" fillId="0" borderId="49" xfId="2" applyFont="1" applyBorder="1" applyAlignment="1">
      <alignment horizontal="left" vertical="top" wrapText="1"/>
    </xf>
    <xf numFmtId="0" fontId="11" fillId="0" borderId="0" xfId="2" applyFont="1" applyAlignment="1">
      <alignment horizontal="left" vertical="top" wrapText="1"/>
    </xf>
    <xf numFmtId="0" fontId="11" fillId="0" borderId="51" xfId="2" applyFont="1" applyBorder="1" applyAlignment="1">
      <alignment horizontal="left" vertical="top" wrapText="1"/>
    </xf>
    <xf numFmtId="0" fontId="11" fillId="0" borderId="26" xfId="2" applyFont="1" applyBorder="1" applyAlignment="1">
      <alignment horizontal="left" wrapText="1"/>
    </xf>
    <xf numFmtId="0" fontId="11" fillId="0" borderId="49" xfId="2" applyFont="1" applyBorder="1" applyAlignment="1">
      <alignment horizontal="left" wrapText="1"/>
    </xf>
    <xf numFmtId="0" fontId="11" fillId="0" borderId="27" xfId="2" applyFont="1" applyBorder="1" applyAlignment="1">
      <alignment horizontal="left" wrapText="1"/>
    </xf>
    <xf numFmtId="0" fontId="11" fillId="0" borderId="31" xfId="2" applyFont="1" applyBorder="1" applyAlignment="1">
      <alignment horizontal="left" wrapText="1"/>
    </xf>
    <xf numFmtId="0" fontId="11" fillId="0" borderId="0" xfId="2" applyFont="1" applyAlignment="1">
      <alignment horizontal="left" wrapText="1"/>
    </xf>
    <xf numFmtId="0" fontId="11" fillId="0" borderId="32" xfId="2" applyFont="1" applyBorder="1" applyAlignment="1">
      <alignment horizontal="left" wrapText="1"/>
    </xf>
    <xf numFmtId="0" fontId="11" fillId="0" borderId="36" xfId="2" applyFont="1" applyBorder="1" applyAlignment="1">
      <alignment horizontal="left" wrapText="1"/>
    </xf>
    <xf numFmtId="0" fontId="11" fillId="0" borderId="51" xfId="2" applyFont="1" applyBorder="1" applyAlignment="1">
      <alignment horizontal="left" wrapText="1"/>
    </xf>
    <xf numFmtId="0" fontId="11" fillId="0" borderId="37" xfId="2" applyFont="1" applyBorder="1" applyAlignment="1">
      <alignment horizontal="left" wrapText="1"/>
    </xf>
    <xf numFmtId="0" fontId="11" fillId="0" borderId="41" xfId="2" applyFont="1" applyBorder="1" applyAlignment="1">
      <alignment horizontal="center" wrapText="1"/>
    </xf>
    <xf numFmtId="0" fontId="11" fillId="0" borderId="42" xfId="2" applyFont="1" applyBorder="1" applyAlignment="1">
      <alignment horizontal="center" wrapText="1"/>
    </xf>
    <xf numFmtId="0" fontId="11" fillId="0" borderId="43" xfId="2" applyFont="1" applyBorder="1" applyAlignment="1">
      <alignment horizontal="center" wrapText="1"/>
    </xf>
    <xf numFmtId="0" fontId="11" fillId="11" borderId="47" xfId="2" applyFont="1" applyFill="1" applyBorder="1" applyAlignment="1">
      <alignment horizontal="center" wrapText="1"/>
    </xf>
    <xf numFmtId="0" fontId="11" fillId="11" borderId="50" xfId="2" applyFont="1" applyFill="1" applyBorder="1" applyAlignment="1">
      <alignment horizontal="center" wrapText="1"/>
    </xf>
    <xf numFmtId="0" fontId="20" fillId="0" borderId="0" xfId="0" applyFont="1" applyAlignment="1">
      <alignment horizontal="center"/>
    </xf>
    <xf numFmtId="0" fontId="14" fillId="3" borderId="0" xfId="0" applyFont="1" applyFill="1" applyAlignment="1">
      <alignment horizontal="center"/>
    </xf>
    <xf numFmtId="0" fontId="11" fillId="0" borderId="26" xfId="1" applyFont="1" applyBorder="1" applyAlignment="1">
      <alignment horizontal="left" vertical="top" wrapText="1"/>
    </xf>
    <xf numFmtId="0" fontId="11" fillId="0" borderId="31" xfId="1" applyFont="1" applyBorder="1" applyAlignment="1">
      <alignment horizontal="left" vertical="top" wrapText="1"/>
    </xf>
    <xf numFmtId="0" fontId="11" fillId="0" borderId="36" xfId="1" applyFont="1" applyBorder="1" applyAlignment="1">
      <alignment horizontal="left" vertical="top" wrapText="1"/>
    </xf>
    <xf numFmtId="0" fontId="11" fillId="0" borderId="49" xfId="1" applyFont="1" applyBorder="1" applyAlignment="1">
      <alignment horizontal="left" vertical="top" wrapText="1"/>
    </xf>
    <xf numFmtId="0" fontId="11" fillId="0" borderId="0" xfId="1" applyFont="1" applyAlignment="1">
      <alignment horizontal="left" vertical="top" wrapText="1"/>
    </xf>
    <xf numFmtId="0" fontId="11" fillId="0" borderId="26" xfId="1" applyFont="1" applyBorder="1" applyAlignment="1">
      <alignment horizontal="left" wrapText="1"/>
    </xf>
    <xf numFmtId="0" fontId="11" fillId="0" borderId="49" xfId="1" applyFont="1" applyBorder="1" applyAlignment="1">
      <alignment horizontal="left" wrapText="1"/>
    </xf>
    <xf numFmtId="0" fontId="11" fillId="0" borderId="27" xfId="1" applyFont="1" applyBorder="1" applyAlignment="1">
      <alignment horizontal="left" wrapText="1"/>
    </xf>
    <xf numFmtId="0" fontId="11" fillId="0" borderId="31" xfId="1" applyFont="1" applyBorder="1" applyAlignment="1">
      <alignment horizontal="left" wrapText="1"/>
    </xf>
    <xf numFmtId="0" fontId="11" fillId="0" borderId="0" xfId="1" applyFont="1" applyAlignment="1">
      <alignment horizontal="left" wrapText="1"/>
    </xf>
    <xf numFmtId="0" fontId="11" fillId="0" borderId="32" xfId="1" applyFont="1" applyBorder="1" applyAlignment="1">
      <alignment horizontal="left" wrapText="1"/>
    </xf>
    <xf numFmtId="0" fontId="11" fillId="0" borderId="36" xfId="1" applyFont="1" applyBorder="1" applyAlignment="1">
      <alignment horizontal="left" wrapText="1"/>
    </xf>
    <xf numFmtId="0" fontId="11" fillId="0" borderId="51" xfId="1" applyFont="1" applyBorder="1" applyAlignment="1">
      <alignment horizontal="left" wrapText="1"/>
    </xf>
    <xf numFmtId="0" fontId="11" fillId="0" borderId="37" xfId="1" applyFont="1" applyBorder="1" applyAlignment="1">
      <alignment horizontal="left" wrapText="1"/>
    </xf>
    <xf numFmtId="0" fontId="11" fillId="0" borderId="41" xfId="1" applyFont="1" applyBorder="1" applyAlignment="1">
      <alignment horizontal="center" wrapText="1"/>
    </xf>
    <xf numFmtId="0" fontId="11" fillId="0" borderId="42" xfId="1" applyFont="1" applyBorder="1" applyAlignment="1">
      <alignment horizontal="center" wrapText="1"/>
    </xf>
    <xf numFmtId="0" fontId="11" fillId="0" borderId="43" xfId="1" applyFont="1" applyBorder="1" applyAlignment="1">
      <alignment horizontal="center" wrapText="1"/>
    </xf>
    <xf numFmtId="0" fontId="11" fillId="0" borderId="47" xfId="1" applyFont="1" applyBorder="1" applyAlignment="1">
      <alignment horizontal="center" wrapText="1"/>
    </xf>
    <xf numFmtId="0" fontId="11" fillId="0" borderId="50" xfId="1" applyFont="1" applyBorder="1" applyAlignment="1">
      <alignment horizontal="center" wrapText="1"/>
    </xf>
    <xf numFmtId="0" fontId="11" fillId="0" borderId="48" xfId="1" applyFont="1" applyBorder="1" applyAlignment="1">
      <alignment horizontal="center" wrapText="1"/>
    </xf>
    <xf numFmtId="0" fontId="11" fillId="0" borderId="51" xfId="1" applyFont="1" applyBorder="1" applyAlignment="1">
      <alignment horizontal="left" vertical="top" wrapText="1"/>
    </xf>
    <xf numFmtId="0" fontId="11" fillId="12" borderId="47" xfId="1" applyFont="1" applyFill="1" applyBorder="1" applyAlignment="1">
      <alignment horizontal="center" wrapText="1"/>
    </xf>
    <xf numFmtId="0" fontId="11" fillId="12" borderId="50" xfId="1" applyFont="1" applyFill="1" applyBorder="1" applyAlignment="1">
      <alignment horizontal="center" wrapText="1"/>
    </xf>
    <xf numFmtId="0" fontId="35" fillId="19" borderId="70" xfId="0" applyFont="1" applyFill="1" applyBorder="1" applyAlignment="1">
      <alignment horizontal="center" wrapText="1" readingOrder="1"/>
    </xf>
    <xf numFmtId="0" fontId="35" fillId="19" borderId="17" xfId="0" applyFont="1" applyFill="1" applyBorder="1" applyAlignment="1">
      <alignment horizontal="center" wrapText="1" readingOrder="1"/>
    </xf>
    <xf numFmtId="0" fontId="35" fillId="19" borderId="71" xfId="0" applyFont="1" applyFill="1" applyBorder="1" applyAlignment="1">
      <alignment horizontal="center" wrapText="1" readingOrder="1"/>
    </xf>
    <xf numFmtId="0" fontId="35" fillId="19" borderId="103" xfId="0" applyFont="1" applyFill="1" applyBorder="1" applyAlignment="1">
      <alignment horizontal="center" wrapText="1" readingOrder="1"/>
    </xf>
    <xf numFmtId="0" fontId="35" fillId="19" borderId="104" xfId="0" applyFont="1" applyFill="1" applyBorder="1" applyAlignment="1">
      <alignment horizontal="center" wrapText="1" readingOrder="1"/>
    </xf>
    <xf numFmtId="0" fontId="35" fillId="19" borderId="105" xfId="0" applyFont="1" applyFill="1" applyBorder="1" applyAlignment="1">
      <alignment horizontal="center" wrapText="1" readingOrder="1"/>
    </xf>
    <xf numFmtId="0" fontId="35" fillId="19" borderId="52" xfId="0" applyFont="1" applyFill="1" applyBorder="1" applyAlignment="1">
      <alignment horizontal="center" wrapText="1" readingOrder="1"/>
    </xf>
    <xf numFmtId="0" fontId="35" fillId="19" borderId="53" xfId="0" applyFont="1" applyFill="1" applyBorder="1" applyAlignment="1">
      <alignment horizontal="center" wrapText="1" readingOrder="1"/>
    </xf>
    <xf numFmtId="0" fontId="35" fillId="19" borderId="54" xfId="0" applyFont="1" applyFill="1" applyBorder="1" applyAlignment="1">
      <alignment horizontal="center" wrapText="1" readingOrder="1"/>
    </xf>
    <xf numFmtId="3" fontId="17" fillId="3" borderId="0" xfId="0" applyNumberFormat="1" applyFont="1" applyFill="1" applyAlignment="1">
      <alignment horizontal="center"/>
    </xf>
    <xf numFmtId="0" fontId="15" fillId="8" borderId="5" xfId="0" applyFont="1" applyFill="1" applyBorder="1" applyAlignment="1">
      <alignment horizontal="center" wrapText="1" readingOrder="1"/>
    </xf>
    <xf numFmtId="0" fontId="15" fillId="8" borderId="6" xfId="0" applyFont="1" applyFill="1" applyBorder="1" applyAlignment="1">
      <alignment horizontal="center" wrapText="1" readingOrder="1"/>
    </xf>
    <xf numFmtId="0" fontId="15" fillId="8" borderId="8" xfId="0" applyFont="1" applyFill="1" applyBorder="1" applyAlignment="1">
      <alignment horizontal="center" wrapText="1" readingOrder="1"/>
    </xf>
    <xf numFmtId="0" fontId="15" fillId="12" borderId="3" xfId="0" applyFont="1" applyFill="1" applyBorder="1" applyAlignment="1">
      <alignment horizontal="center" wrapText="1" readingOrder="1"/>
    </xf>
    <xf numFmtId="0" fontId="15" fillId="2" borderId="5" xfId="0" applyFont="1" applyFill="1" applyBorder="1" applyAlignment="1">
      <alignment horizontal="center" wrapText="1" readingOrder="1"/>
    </xf>
    <xf numFmtId="0" fontId="15" fillId="2" borderId="6" xfId="0" applyFont="1" applyFill="1" applyBorder="1" applyAlignment="1">
      <alignment horizontal="center" wrapText="1" readingOrder="1"/>
    </xf>
    <xf numFmtId="0" fontId="15" fillId="2" borderId="7" xfId="0" applyFont="1" applyFill="1" applyBorder="1" applyAlignment="1">
      <alignment horizontal="center" wrapText="1" readingOrder="1"/>
    </xf>
    <xf numFmtId="0" fontId="14" fillId="16" borderId="114" xfId="0" applyFont="1" applyFill="1" applyBorder="1" applyAlignment="1">
      <alignment horizontal="center"/>
    </xf>
    <xf numFmtId="0" fontId="11" fillId="0" borderId="49" xfId="5" applyFont="1" applyBorder="1" applyAlignment="1">
      <alignment horizontal="left" vertical="top" wrapText="1"/>
    </xf>
    <xf numFmtId="0" fontId="11" fillId="0" borderId="0" xfId="5" applyFont="1" applyAlignment="1">
      <alignment horizontal="left" vertical="top" wrapText="1"/>
    </xf>
    <xf numFmtId="0" fontId="11" fillId="0" borderId="51" xfId="5" applyFont="1" applyBorder="1" applyAlignment="1">
      <alignment horizontal="left" vertical="top" wrapText="1"/>
    </xf>
    <xf numFmtId="0" fontId="11" fillId="0" borderId="50" xfId="5" applyFont="1" applyBorder="1" applyAlignment="1">
      <alignment horizontal="center" wrapText="1"/>
    </xf>
    <xf numFmtId="0" fontId="11" fillId="0" borderId="48" xfId="5" applyFont="1" applyBorder="1" applyAlignment="1">
      <alignment horizontal="center" wrapText="1"/>
    </xf>
    <xf numFmtId="0" fontId="11" fillId="0" borderId="26" xfId="5" applyFont="1" applyBorder="1" applyAlignment="1">
      <alignment horizontal="left" vertical="top" wrapText="1"/>
    </xf>
    <xf numFmtId="0" fontId="11" fillId="0" borderId="31" xfId="5" applyFont="1" applyBorder="1" applyAlignment="1">
      <alignment horizontal="left" vertical="top" wrapText="1"/>
    </xf>
    <xf numFmtId="0" fontId="11" fillId="0" borderId="36" xfId="5" applyFont="1" applyBorder="1" applyAlignment="1">
      <alignment horizontal="left" vertical="top" wrapText="1"/>
    </xf>
    <xf numFmtId="0" fontId="30" fillId="3" borderId="26" xfId="5" applyFont="1" applyFill="1" applyBorder="1" applyAlignment="1">
      <alignment horizontal="center" wrapText="1"/>
    </xf>
    <xf numFmtId="0" fontId="30" fillId="3" borderId="49" xfId="5" applyFont="1" applyFill="1" applyBorder="1" applyAlignment="1">
      <alignment horizontal="center" wrapText="1"/>
    </xf>
    <xf numFmtId="0" fontId="30" fillId="3" borderId="27" xfId="5" applyFont="1" applyFill="1" applyBorder="1" applyAlignment="1">
      <alignment horizontal="center" wrapText="1"/>
    </xf>
    <xf numFmtId="0" fontId="30" fillId="3" borderId="31" xfId="5" applyFont="1" applyFill="1" applyBorder="1" applyAlignment="1">
      <alignment horizontal="center" wrapText="1"/>
    </xf>
    <xf numFmtId="0" fontId="30" fillId="3" borderId="0" xfId="5" applyFont="1" applyFill="1" applyAlignment="1">
      <alignment horizontal="center" wrapText="1"/>
    </xf>
    <xf numFmtId="0" fontId="30" fillId="3" borderId="32" xfId="5" applyFont="1" applyFill="1" applyBorder="1" applyAlignment="1">
      <alignment horizontal="center" wrapText="1"/>
    </xf>
    <xf numFmtId="0" fontId="30" fillId="3" borderId="36" xfId="5" applyFont="1" applyFill="1" applyBorder="1" applyAlignment="1">
      <alignment horizontal="center" wrapText="1"/>
    </xf>
    <xf numFmtId="0" fontId="30" fillId="3" borderId="51" xfId="5" applyFont="1" applyFill="1" applyBorder="1" applyAlignment="1">
      <alignment horizontal="center" wrapText="1"/>
    </xf>
    <xf numFmtId="0" fontId="30" fillId="3" borderId="37" xfId="5" applyFont="1" applyFill="1" applyBorder="1" applyAlignment="1">
      <alignment horizontal="center" wrapText="1"/>
    </xf>
    <xf numFmtId="0" fontId="11" fillId="0" borderId="41" xfId="5" applyFont="1" applyBorder="1" applyAlignment="1">
      <alignment horizontal="center" wrapText="1"/>
    </xf>
    <xf numFmtId="0" fontId="11" fillId="0" borderId="42" xfId="5" applyFont="1" applyBorder="1" applyAlignment="1">
      <alignment horizontal="center" wrapText="1"/>
    </xf>
    <xf numFmtId="0" fontId="11" fillId="0" borderId="43" xfId="5" applyFont="1" applyBorder="1" applyAlignment="1">
      <alignment horizontal="center" wrapText="1"/>
    </xf>
    <xf numFmtId="0" fontId="11" fillId="0" borderId="47" xfId="5" applyFont="1" applyBorder="1" applyAlignment="1">
      <alignment horizontal="center" wrapText="1"/>
    </xf>
    <xf numFmtId="0" fontId="11" fillId="0" borderId="26" xfId="4" applyFont="1" applyBorder="1" applyAlignment="1">
      <alignment horizontal="left" wrapText="1"/>
    </xf>
    <xf numFmtId="0" fontId="11" fillId="0" borderId="49" xfId="4" applyFont="1" applyBorder="1" applyAlignment="1">
      <alignment horizontal="left" wrapText="1"/>
    </xf>
    <xf numFmtId="0" fontId="11" fillId="0" borderId="27" xfId="4" applyFont="1" applyBorder="1" applyAlignment="1">
      <alignment horizontal="left" wrapText="1"/>
    </xf>
    <xf numFmtId="0" fontId="11" fillId="0" borderId="31" xfId="4" applyFont="1" applyBorder="1" applyAlignment="1">
      <alignment horizontal="left" wrapText="1"/>
    </xf>
    <xf numFmtId="0" fontId="11" fillId="0" borderId="0" xfId="4" applyFont="1" applyAlignment="1">
      <alignment horizontal="left" wrapText="1"/>
    </xf>
    <xf numFmtId="0" fontId="11" fillId="0" borderId="32" xfId="4" applyFont="1" applyBorder="1" applyAlignment="1">
      <alignment horizontal="left" wrapText="1"/>
    </xf>
    <xf numFmtId="0" fontId="11" fillId="0" borderId="36" xfId="4" applyFont="1" applyBorder="1" applyAlignment="1">
      <alignment horizontal="left" wrapText="1"/>
    </xf>
    <xf numFmtId="0" fontId="11" fillId="0" borderId="51" xfId="4" applyFont="1" applyBorder="1" applyAlignment="1">
      <alignment horizontal="left" wrapText="1"/>
    </xf>
    <xf numFmtId="0" fontId="11" fillId="0" borderId="37" xfId="4" applyFont="1" applyBorder="1" applyAlignment="1">
      <alignment horizontal="left" wrapText="1"/>
    </xf>
    <xf numFmtId="0" fontId="11" fillId="0" borderId="41" xfId="4" applyFont="1" applyBorder="1" applyAlignment="1">
      <alignment horizontal="center" wrapText="1"/>
    </xf>
    <xf numFmtId="0" fontId="11" fillId="0" borderId="42" xfId="4" applyFont="1" applyBorder="1" applyAlignment="1">
      <alignment horizontal="center" wrapText="1"/>
    </xf>
    <xf numFmtId="0" fontId="11" fillId="0" borderId="43" xfId="4" applyFont="1" applyBorder="1" applyAlignment="1">
      <alignment horizontal="center" wrapText="1"/>
    </xf>
    <xf numFmtId="0" fontId="11" fillId="0" borderId="47" xfId="4" applyFont="1" applyBorder="1" applyAlignment="1">
      <alignment horizontal="center"/>
    </xf>
    <xf numFmtId="0" fontId="11" fillId="0" borderId="50" xfId="4" applyFont="1" applyBorder="1" applyAlignment="1">
      <alignment horizontal="center" wrapText="1"/>
    </xf>
    <xf numFmtId="0" fontId="11" fillId="0" borderId="48" xfId="4" applyFont="1" applyBorder="1" applyAlignment="1">
      <alignment horizontal="center" wrapText="1"/>
    </xf>
    <xf numFmtId="0" fontId="11" fillId="0" borderId="47" xfId="4" applyFont="1" applyBorder="1" applyAlignment="1">
      <alignment horizontal="center" wrapText="1"/>
    </xf>
    <xf numFmtId="0" fontId="11" fillId="0" borderId="26" xfId="5" applyFont="1" applyBorder="1" applyAlignment="1">
      <alignment horizontal="left" wrapText="1"/>
    </xf>
    <xf numFmtId="0" fontId="11" fillId="0" borderId="27" xfId="5" applyFont="1" applyBorder="1" applyAlignment="1">
      <alignment horizontal="left" wrapText="1"/>
    </xf>
    <xf numFmtId="0" fontId="11" fillId="0" borderId="31" xfId="5" applyFont="1" applyBorder="1" applyAlignment="1">
      <alignment horizontal="left" wrapText="1"/>
    </xf>
    <xf numFmtId="0" fontId="11" fillId="0" borderId="32" xfId="5" applyFont="1" applyBorder="1" applyAlignment="1">
      <alignment horizontal="left" wrapText="1"/>
    </xf>
    <xf numFmtId="0" fontId="11" fillId="0" borderId="36" xfId="5" applyFont="1" applyBorder="1" applyAlignment="1">
      <alignment horizontal="left" wrapText="1"/>
    </xf>
    <xf numFmtId="0" fontId="11" fillId="0" borderId="37" xfId="5" applyFont="1" applyBorder="1" applyAlignment="1">
      <alignment horizontal="left" wrapText="1"/>
    </xf>
    <xf numFmtId="0" fontId="11" fillId="0" borderId="47" xfId="5" applyFont="1" applyBorder="1" applyAlignment="1">
      <alignment horizontal="center"/>
    </xf>
    <xf numFmtId="0" fontId="11" fillId="0" borderId="26" xfId="4" applyFont="1" applyBorder="1" applyAlignment="1">
      <alignment horizontal="left" vertical="top" wrapText="1"/>
    </xf>
    <xf numFmtId="0" fontId="11" fillId="0" borderId="31" xfId="4" applyFont="1" applyBorder="1" applyAlignment="1">
      <alignment horizontal="left" vertical="top" wrapText="1"/>
    </xf>
    <xf numFmtId="0" fontId="11" fillId="0" borderId="36" xfId="4" applyFont="1" applyBorder="1" applyAlignment="1">
      <alignment horizontal="left" vertical="top" wrapText="1"/>
    </xf>
    <xf numFmtId="0" fontId="11" fillId="0" borderId="49" xfId="4" applyFont="1" applyBorder="1" applyAlignment="1">
      <alignment horizontal="left" vertical="top" wrapText="1"/>
    </xf>
    <xf numFmtId="0" fontId="11" fillId="0" borderId="0" xfId="4" applyFont="1" applyAlignment="1">
      <alignment horizontal="left" vertical="top" wrapText="1"/>
    </xf>
    <xf numFmtId="0" fontId="11" fillId="0" borderId="51" xfId="4" applyFont="1" applyBorder="1" applyAlignment="1">
      <alignment horizontal="left" vertical="top" wrapText="1"/>
    </xf>
    <xf numFmtId="0" fontId="11" fillId="0" borderId="49" xfId="5" applyFont="1" applyBorder="1" applyAlignment="1">
      <alignment horizontal="left" wrapText="1"/>
    </xf>
    <xf numFmtId="0" fontId="11" fillId="0" borderId="0" xfId="5" applyFont="1" applyAlignment="1">
      <alignment horizontal="left" wrapText="1"/>
    </xf>
    <xf numFmtId="0" fontId="11" fillId="0" borderId="51" xfId="5" applyFont="1" applyBorder="1" applyAlignment="1">
      <alignment horizontal="left" wrapText="1"/>
    </xf>
    <xf numFmtId="0" fontId="29" fillId="0" borderId="26" xfId="5" applyFont="1" applyBorder="1" applyAlignment="1">
      <alignment horizontal="left" wrapText="1"/>
    </xf>
    <xf numFmtId="0" fontId="29" fillId="0" borderId="49" xfId="5" applyFont="1" applyBorder="1" applyAlignment="1">
      <alignment horizontal="left" wrapText="1"/>
    </xf>
    <xf numFmtId="0" fontId="29" fillId="0" borderId="27" xfId="5" applyFont="1" applyBorder="1" applyAlignment="1">
      <alignment horizontal="left" wrapText="1"/>
    </xf>
    <xf numFmtId="0" fontId="29" fillId="0" borderId="31" xfId="5" applyFont="1" applyBorder="1" applyAlignment="1">
      <alignment horizontal="left" wrapText="1"/>
    </xf>
    <xf numFmtId="0" fontId="29" fillId="0" borderId="0" xfId="5" applyFont="1" applyAlignment="1">
      <alignment horizontal="left" wrapText="1"/>
    </xf>
    <xf numFmtId="0" fontId="29" fillId="0" borderId="32" xfId="5" applyFont="1" applyBorder="1" applyAlignment="1">
      <alignment horizontal="left" wrapText="1"/>
    </xf>
    <xf numFmtId="0" fontId="29" fillId="0" borderId="36" xfId="5" applyFont="1" applyBorder="1" applyAlignment="1">
      <alignment horizontal="left" wrapText="1"/>
    </xf>
    <xf numFmtId="0" fontId="29" fillId="0" borderId="51" xfId="5" applyFont="1" applyBorder="1" applyAlignment="1">
      <alignment horizontal="left" wrapText="1"/>
    </xf>
    <xf numFmtId="0" fontId="29" fillId="0" borderId="37" xfId="5" applyFont="1" applyBorder="1" applyAlignment="1">
      <alignment horizontal="left" wrapText="1"/>
    </xf>
    <xf numFmtId="0" fontId="11" fillId="0" borderId="190" xfId="5" applyFont="1" applyBorder="1" applyAlignment="1">
      <alignment horizontal="left" wrapText="1"/>
    </xf>
    <xf numFmtId="0" fontId="11" fillId="0" borderId="191" xfId="5" applyFont="1" applyBorder="1" applyAlignment="1">
      <alignment horizontal="left" wrapText="1"/>
    </xf>
    <xf numFmtId="0" fontId="11" fillId="0" borderId="49" xfId="5" applyFont="1" applyBorder="1" applyAlignment="1">
      <alignment horizontal="left" vertical="top"/>
    </xf>
    <xf numFmtId="0" fontId="11" fillId="0" borderId="0" xfId="5" applyFont="1" applyAlignment="1">
      <alignment horizontal="left" vertical="top"/>
    </xf>
    <xf numFmtId="0" fontId="13" fillId="0" borderId="52" xfId="0" applyFont="1" applyBorder="1" applyAlignment="1">
      <alignment horizontal="center" wrapText="1" readingOrder="1"/>
    </xf>
    <xf numFmtId="0" fontId="13" fillId="0" borderId="53" xfId="0" applyFont="1" applyBorder="1" applyAlignment="1">
      <alignment horizontal="center" wrapText="1" readingOrder="1"/>
    </xf>
    <xf numFmtId="0" fontId="13" fillId="0" borderId="155" xfId="0" applyFont="1" applyBorder="1" applyAlignment="1">
      <alignment horizontal="center" wrapText="1" readingOrder="1"/>
    </xf>
    <xf numFmtId="0" fontId="13" fillId="11" borderId="52" xfId="0" applyFont="1" applyFill="1" applyBorder="1" applyAlignment="1">
      <alignment horizontal="center" wrapText="1" readingOrder="1"/>
    </xf>
    <xf numFmtId="0" fontId="13" fillId="11" borderId="53" xfId="0" applyFont="1" applyFill="1" applyBorder="1" applyAlignment="1">
      <alignment horizontal="center" wrapText="1" readingOrder="1"/>
    </xf>
    <xf numFmtId="0" fontId="13" fillId="11" borderId="176" xfId="0" applyFont="1" applyFill="1" applyBorder="1" applyAlignment="1">
      <alignment horizontal="center" wrapText="1" readingOrder="1"/>
    </xf>
    <xf numFmtId="0" fontId="13" fillId="17" borderId="52" xfId="0" applyFont="1" applyFill="1" applyBorder="1" applyAlignment="1">
      <alignment horizontal="center" wrapText="1" readingOrder="1"/>
    </xf>
    <xf numFmtId="0" fontId="13" fillId="17" borderId="53" xfId="0" applyFont="1" applyFill="1" applyBorder="1" applyAlignment="1">
      <alignment horizontal="center" wrapText="1" readingOrder="1"/>
    </xf>
    <xf numFmtId="0" fontId="13" fillId="17" borderId="155" xfId="0" applyFont="1" applyFill="1" applyBorder="1" applyAlignment="1">
      <alignment horizontal="center" wrapText="1" readingOrder="1"/>
    </xf>
    <xf numFmtId="0" fontId="13" fillId="29" borderId="52" xfId="0" applyFont="1" applyFill="1" applyBorder="1" applyAlignment="1">
      <alignment horizontal="center" wrapText="1" readingOrder="1"/>
    </xf>
    <xf numFmtId="0" fontId="13" fillId="29" borderId="53" xfId="0" applyFont="1" applyFill="1" applyBorder="1" applyAlignment="1">
      <alignment horizontal="center" wrapText="1" readingOrder="1"/>
    </xf>
    <xf numFmtId="0" fontId="13" fillId="29" borderId="155" xfId="0" applyFont="1" applyFill="1" applyBorder="1" applyAlignment="1">
      <alignment horizontal="center" wrapText="1" readingOrder="1"/>
    </xf>
    <xf numFmtId="0" fontId="13" fillId="28" borderId="52" xfId="0" applyFont="1" applyFill="1" applyBorder="1" applyAlignment="1">
      <alignment horizontal="center" wrapText="1" readingOrder="1"/>
    </xf>
    <xf numFmtId="0" fontId="13" fillId="28" borderId="53" xfId="0" applyFont="1" applyFill="1" applyBorder="1" applyAlignment="1">
      <alignment horizontal="center" wrapText="1" readingOrder="1"/>
    </xf>
    <xf numFmtId="0" fontId="13" fillId="28" borderId="155" xfId="0" applyFont="1" applyFill="1" applyBorder="1" applyAlignment="1">
      <alignment horizontal="center" wrapText="1" readingOrder="1"/>
    </xf>
    <xf numFmtId="0" fontId="34" fillId="19" borderId="0" xfId="0" applyFont="1" applyFill="1" applyAlignment="1">
      <alignment horizontal="center"/>
    </xf>
    <xf numFmtId="0" fontId="11" fillId="0" borderId="297" xfId="8" applyFont="1" applyBorder="1" applyAlignment="1">
      <alignment horizontal="left" vertical="top" wrapText="1"/>
    </xf>
    <xf numFmtId="0" fontId="10" fillId="0" borderId="196" xfId="8" applyBorder="1" applyAlignment="1">
      <alignment horizontal="center" vertical="center"/>
    </xf>
    <xf numFmtId="0" fontId="10" fillId="0" borderId="200" xfId="8" applyBorder="1" applyAlignment="1">
      <alignment horizontal="center" vertical="center"/>
    </xf>
    <xf numFmtId="0" fontId="11" fillId="0" borderId="292" xfId="8" applyFont="1" applyBorder="1" applyAlignment="1">
      <alignment horizontal="left" vertical="top" wrapText="1"/>
    </xf>
    <xf numFmtId="0" fontId="10" fillId="0" borderId="0" xfId="8" applyAlignment="1">
      <alignment horizontal="center" vertical="center"/>
    </xf>
    <xf numFmtId="0" fontId="11" fillId="0" borderId="201" xfId="8" applyFont="1" applyBorder="1" applyAlignment="1">
      <alignment horizontal="left" vertical="top" wrapText="1"/>
    </xf>
    <xf numFmtId="0" fontId="10" fillId="0" borderId="201" xfId="8" applyBorder="1" applyAlignment="1">
      <alignment horizontal="center" vertical="center"/>
    </xf>
    <xf numFmtId="0" fontId="10" fillId="0" borderId="291" xfId="8" applyBorder="1" applyAlignment="1">
      <alignment horizontal="center" vertical="center" wrapText="1"/>
    </xf>
    <xf numFmtId="0" fontId="10" fillId="0" borderId="292" xfId="8" applyBorder="1" applyAlignment="1">
      <alignment horizontal="center" vertical="center"/>
    </xf>
    <xf numFmtId="0" fontId="10" fillId="0" borderId="293" xfId="8" applyBorder="1" applyAlignment="1">
      <alignment horizontal="center" vertical="center"/>
    </xf>
    <xf numFmtId="0" fontId="10" fillId="0" borderId="197" xfId="8" applyBorder="1" applyAlignment="1">
      <alignment horizontal="center" vertical="center"/>
    </xf>
    <xf numFmtId="0" fontId="10" fillId="0" borderId="202" xfId="8" applyBorder="1" applyAlignment="1">
      <alignment horizontal="center" vertical="center"/>
    </xf>
    <xf numFmtId="0" fontId="11" fillId="0" borderId="294" xfId="8" applyFont="1" applyBorder="1" applyAlignment="1">
      <alignment horizontal="center" wrapText="1"/>
    </xf>
    <xf numFmtId="0" fontId="10" fillId="0" borderId="295" xfId="8" applyBorder="1" applyAlignment="1">
      <alignment horizontal="center" vertical="center"/>
    </xf>
    <xf numFmtId="0" fontId="10" fillId="0" borderId="296" xfId="8" applyBorder="1" applyAlignment="1">
      <alignment horizontal="center" vertical="center"/>
    </xf>
    <xf numFmtId="0" fontId="11" fillId="0" borderId="198" xfId="8" applyFont="1" applyBorder="1" applyAlignment="1">
      <alignment horizontal="center" wrapText="1"/>
    </xf>
    <xf numFmtId="0" fontId="10" fillId="0" borderId="211" xfId="8" applyBorder="1" applyAlignment="1">
      <alignment horizontal="center" vertical="center"/>
    </xf>
    <xf numFmtId="0" fontId="10" fillId="0" borderId="212" xfId="8" applyBorder="1" applyAlignment="1">
      <alignment horizontal="center" vertical="center"/>
    </xf>
    <xf numFmtId="0" fontId="11" fillId="0" borderId="199" xfId="8" applyFont="1" applyBorder="1" applyAlignment="1">
      <alignment horizontal="center" wrapText="1"/>
    </xf>
    <xf numFmtId="0" fontId="10" fillId="0" borderId="213" xfId="8" applyBorder="1" applyAlignment="1">
      <alignment horizontal="center" vertical="center"/>
    </xf>
    <xf numFmtId="0" fontId="11" fillId="0" borderId="242" xfId="8" applyFont="1" applyBorder="1" applyAlignment="1">
      <alignment horizontal="center" wrapText="1"/>
    </xf>
    <xf numFmtId="0" fontId="10" fillId="0" borderId="243" xfId="8" applyBorder="1" applyAlignment="1">
      <alignment horizontal="center" vertical="center"/>
    </xf>
    <xf numFmtId="0" fontId="11" fillId="0" borderId="249" xfId="8" applyFont="1" applyBorder="1" applyAlignment="1">
      <alignment horizontal="center" wrapText="1"/>
    </xf>
    <xf numFmtId="0" fontId="11" fillId="0" borderId="185" xfId="8" applyFont="1" applyBorder="1" applyAlignment="1">
      <alignment horizontal="center" wrapText="1"/>
    </xf>
    <xf numFmtId="0" fontId="11" fillId="0" borderId="106" xfId="8" applyFont="1" applyBorder="1" applyAlignment="1">
      <alignment horizontal="left" vertical="top" wrapText="1"/>
    </xf>
    <xf numFmtId="0" fontId="10" fillId="0" borderId="112" xfId="8" applyBorder="1" applyAlignment="1">
      <alignment horizontal="center" vertical="center"/>
    </xf>
    <xf numFmtId="0" fontId="10" fillId="0" borderId="113" xfId="8" applyBorder="1" applyAlignment="1">
      <alignment horizontal="center" vertical="center"/>
    </xf>
    <xf numFmtId="0" fontId="11" fillId="0" borderId="107" xfId="8" applyFont="1" applyBorder="1" applyAlignment="1">
      <alignment horizontal="left" vertical="top" wrapText="1"/>
    </xf>
    <xf numFmtId="0" fontId="10" fillId="0" borderId="114" xfId="8" applyBorder="1" applyAlignment="1">
      <alignment horizontal="center" vertical="center"/>
    </xf>
    <xf numFmtId="0" fontId="11" fillId="0" borderId="0" xfId="8" applyFont="1" applyAlignment="1">
      <alignment horizontal="left" vertical="top" wrapText="1"/>
    </xf>
    <xf numFmtId="0" fontId="11" fillId="0" borderId="301" xfId="8" applyFont="1" applyBorder="1" applyAlignment="1">
      <alignment horizontal="center" wrapText="1"/>
    </xf>
    <xf numFmtId="0" fontId="10" fillId="0" borderId="302" xfId="8" applyBorder="1" applyAlignment="1">
      <alignment horizontal="center" vertical="center"/>
    </xf>
    <xf numFmtId="0" fontId="10" fillId="0" borderId="303" xfId="8" applyBorder="1" applyAlignment="1">
      <alignment horizontal="center" vertical="center"/>
    </xf>
    <xf numFmtId="0" fontId="11" fillId="0" borderId="214" xfId="8" applyFont="1" applyBorder="1" applyAlignment="1">
      <alignment horizontal="center" wrapText="1"/>
    </xf>
    <xf numFmtId="0" fontId="10" fillId="0" borderId="241" xfId="8" applyBorder="1" applyAlignment="1">
      <alignment horizontal="center" vertical="center"/>
    </xf>
    <xf numFmtId="0" fontId="10" fillId="0" borderId="247" xfId="8" applyBorder="1" applyAlignment="1">
      <alignment horizontal="center" vertical="center"/>
    </xf>
    <xf numFmtId="0" fontId="11" fillId="0" borderId="215" xfId="8" applyFont="1" applyBorder="1" applyAlignment="1">
      <alignment horizontal="center" wrapText="1"/>
    </xf>
    <xf numFmtId="0" fontId="10" fillId="0" borderId="248" xfId="8" applyBorder="1" applyAlignment="1">
      <alignment horizontal="center" vertical="center"/>
    </xf>
    <xf numFmtId="0" fontId="11" fillId="0" borderId="304" xfId="8" applyFont="1" applyBorder="1" applyAlignment="1">
      <alignment horizontal="center" wrapText="1"/>
    </xf>
    <xf numFmtId="0" fontId="11" fillId="26" borderId="292" xfId="8" applyFont="1" applyFill="1" applyBorder="1" applyAlignment="1">
      <alignment horizontal="left" vertical="top" wrapText="1"/>
    </xf>
    <xf numFmtId="0" fontId="10" fillId="26" borderId="0" xfId="8" applyFill="1" applyAlignment="1">
      <alignment horizontal="center" vertical="center"/>
    </xf>
    <xf numFmtId="0" fontId="11" fillId="26" borderId="0" xfId="8" applyFont="1" applyFill="1" applyAlignment="1">
      <alignment horizontal="left" vertical="top" wrapText="1"/>
    </xf>
    <xf numFmtId="0" fontId="11" fillId="0" borderId="266" xfId="8" applyFont="1" applyBorder="1" applyAlignment="1">
      <alignment horizontal="center" wrapText="1"/>
    </xf>
    <xf numFmtId="0" fontId="11" fillId="0" borderId="267" xfId="8" applyFont="1" applyBorder="1" applyAlignment="1">
      <alignment horizontal="center" wrapText="1"/>
    </xf>
    <xf numFmtId="0" fontId="11" fillId="0" borderId="268" xfId="8" applyFont="1" applyBorder="1" applyAlignment="1">
      <alignment horizontal="center" wrapText="1"/>
    </xf>
    <xf numFmtId="0" fontId="11" fillId="0" borderId="265" xfId="8" applyFont="1" applyBorder="1" applyAlignment="1">
      <alignment horizontal="center" wrapText="1"/>
    </xf>
    <xf numFmtId="0" fontId="11" fillId="0" borderId="211" xfId="8" applyFont="1" applyBorder="1" applyAlignment="1">
      <alignment horizontal="center" wrapText="1"/>
    </xf>
    <xf numFmtId="0" fontId="11" fillId="0" borderId="212" xfId="8" applyFont="1" applyBorder="1" applyAlignment="1">
      <alignment horizontal="center" wrapText="1"/>
    </xf>
    <xf numFmtId="0" fontId="11" fillId="0" borderId="264" xfId="8" applyFont="1" applyBorder="1" applyAlignment="1">
      <alignment horizontal="center" wrapText="1"/>
    </xf>
    <xf numFmtId="0" fontId="11" fillId="0" borderId="213" xfId="8" applyFont="1" applyBorder="1" applyAlignment="1">
      <alignment horizontal="center" wrapText="1"/>
    </xf>
    <xf numFmtId="0" fontId="11" fillId="0" borderId="262" xfId="8" applyFont="1" applyBorder="1" applyAlignment="1">
      <alignment horizontal="center" wrapText="1"/>
    </xf>
    <xf numFmtId="0" fontId="11" fillId="0" borderId="260" xfId="8" applyFont="1" applyBorder="1" applyAlignment="1">
      <alignment horizontal="center" wrapText="1"/>
    </xf>
    <xf numFmtId="0" fontId="11" fillId="0" borderId="263" xfId="8" applyFont="1" applyBorder="1" applyAlignment="1">
      <alignment horizontal="center" wrapText="1"/>
    </xf>
    <xf numFmtId="0" fontId="11" fillId="0" borderId="259" xfId="8" applyFont="1" applyBorder="1" applyAlignment="1">
      <alignment horizontal="center" wrapText="1"/>
    </xf>
    <xf numFmtId="0" fontId="11" fillId="0" borderId="261" xfId="8" applyFont="1" applyBorder="1" applyAlignment="1">
      <alignment horizontal="center" wrapText="1"/>
    </xf>
    <xf numFmtId="0" fontId="41" fillId="27" borderId="21" xfId="0" applyFont="1" applyFill="1" applyBorder="1" applyAlignment="1">
      <alignment horizontal="center" vertical="center" wrapText="1"/>
    </xf>
    <xf numFmtId="0" fontId="41" fillId="27" borderId="18" xfId="0" applyFont="1" applyFill="1" applyBorder="1" applyAlignment="1">
      <alignment horizontal="center" vertical="center" wrapText="1"/>
    </xf>
    <xf numFmtId="0" fontId="41" fillId="27" borderId="258" xfId="0" applyFont="1" applyFill="1" applyBorder="1" applyAlignment="1">
      <alignment horizontal="center" vertical="center" wrapText="1"/>
    </xf>
    <xf numFmtId="0" fontId="41" fillId="27" borderId="257" xfId="0" applyFont="1" applyFill="1" applyBorder="1" applyAlignment="1">
      <alignment horizontal="center" vertical="center" wrapText="1"/>
    </xf>
    <xf numFmtId="0" fontId="10" fillId="0" borderId="230" xfId="8" applyBorder="1" applyAlignment="1">
      <alignment horizontal="center" vertical="center" wrapText="1"/>
    </xf>
    <xf numFmtId="0" fontId="10" fillId="0" borderId="231" xfId="8" applyBorder="1" applyAlignment="1">
      <alignment horizontal="center" vertical="center"/>
    </xf>
    <xf numFmtId="0" fontId="10" fillId="0" borderId="232" xfId="8" applyBorder="1" applyAlignment="1">
      <alignment horizontal="center" vertical="center"/>
    </xf>
    <xf numFmtId="0" fontId="11" fillId="0" borderId="236" xfId="8" applyFont="1" applyBorder="1" applyAlignment="1">
      <alignment horizontal="left" vertical="top" wrapText="1"/>
    </xf>
    <xf numFmtId="0" fontId="11" fillId="0" borderId="252" xfId="8" applyFont="1" applyBorder="1" applyAlignment="1">
      <alignment horizontal="left" vertical="top" wrapText="1"/>
    </xf>
    <xf numFmtId="0" fontId="11" fillId="0" borderId="253" xfId="8" applyFont="1" applyBorder="1" applyAlignment="1">
      <alignment horizontal="left" vertical="top" wrapText="1"/>
    </xf>
    <xf numFmtId="0" fontId="11" fillId="26" borderId="231" xfId="8" applyFont="1" applyFill="1" applyBorder="1" applyAlignment="1">
      <alignment horizontal="left" vertical="top" wrapText="1"/>
    </xf>
    <xf numFmtId="0" fontId="11" fillId="26" borderId="106" xfId="4" applyFont="1" applyFill="1" applyBorder="1" applyAlignment="1">
      <alignment horizontal="left" vertical="top"/>
    </xf>
    <xf numFmtId="0" fontId="11" fillId="26" borderId="112" xfId="4" applyFont="1" applyFill="1" applyBorder="1" applyAlignment="1">
      <alignment horizontal="left" vertical="top" wrapText="1"/>
    </xf>
    <xf numFmtId="0" fontId="11" fillId="26" borderId="113" xfId="4" applyFont="1" applyFill="1" applyBorder="1" applyAlignment="1">
      <alignment horizontal="left" vertical="top" wrapText="1"/>
    </xf>
    <xf numFmtId="0" fontId="11" fillId="26" borderId="107" xfId="4" applyFont="1" applyFill="1" applyBorder="1" applyAlignment="1">
      <alignment horizontal="left" vertical="top" wrapText="1"/>
    </xf>
    <xf numFmtId="0" fontId="11" fillId="26" borderId="0" xfId="4" applyFont="1" applyFill="1" applyAlignment="1">
      <alignment horizontal="left" vertical="top" wrapText="1"/>
    </xf>
    <xf numFmtId="0" fontId="11" fillId="26" borderId="114" xfId="4" applyFont="1" applyFill="1" applyBorder="1" applyAlignment="1">
      <alignment horizontal="left" vertical="top" wrapText="1"/>
    </xf>
    <xf numFmtId="0" fontId="11" fillId="0" borderId="0" xfId="4" applyFont="1" applyAlignment="1">
      <alignment horizontal="left" vertical="top"/>
    </xf>
    <xf numFmtId="0" fontId="11" fillId="0" borderId="233" xfId="8" applyFont="1" applyBorder="1" applyAlignment="1">
      <alignment horizontal="center" wrapText="1"/>
    </xf>
    <xf numFmtId="0" fontId="10" fillId="0" borderId="234" xfId="8" applyBorder="1" applyAlignment="1">
      <alignment horizontal="center" vertical="center"/>
    </xf>
    <xf numFmtId="0" fontId="10" fillId="0" borderId="235" xfId="8" applyBorder="1" applyAlignment="1">
      <alignment horizontal="center" vertical="center"/>
    </xf>
    <xf numFmtId="0" fontId="11" fillId="0" borderId="264" xfId="4" applyFont="1" applyBorder="1" applyAlignment="1">
      <alignment horizontal="center" wrapText="1"/>
    </xf>
    <xf numFmtId="0" fontId="11" fillId="0" borderId="312" xfId="4" applyFont="1" applyBorder="1" applyAlignment="1">
      <alignment horizontal="center" wrapText="1"/>
    </xf>
    <xf numFmtId="0" fontId="11" fillId="0" borderId="308" xfId="4" applyFont="1" applyBorder="1" applyAlignment="1">
      <alignment horizontal="center" wrapText="1"/>
    </xf>
    <xf numFmtId="0" fontId="11" fillId="0" borderId="309" xfId="4" applyFont="1" applyBorder="1" applyAlignment="1">
      <alignment horizontal="center" wrapText="1"/>
    </xf>
    <xf numFmtId="0" fontId="11" fillId="0" borderId="310" xfId="4" applyFont="1" applyBorder="1" applyAlignment="1">
      <alignment horizontal="center" wrapText="1"/>
    </xf>
    <xf numFmtId="0" fontId="11" fillId="0" borderId="311" xfId="4" applyFont="1" applyBorder="1" applyAlignment="1">
      <alignment horizontal="center" wrapText="1"/>
    </xf>
    <xf numFmtId="0" fontId="11" fillId="0" borderId="212" xfId="4" applyFont="1" applyBorder="1" applyAlignment="1">
      <alignment horizontal="center" wrapText="1"/>
    </xf>
    <xf numFmtId="0" fontId="11" fillId="0" borderId="49" xfId="4" applyFont="1" applyBorder="1" applyAlignment="1">
      <alignment horizontal="left" vertical="top"/>
    </xf>
    <xf numFmtId="0" fontId="11" fillId="0" borderId="231" xfId="8" applyFont="1" applyBorder="1" applyAlignment="1">
      <alignment horizontal="left" vertical="top" wrapText="1"/>
    </xf>
    <xf numFmtId="0" fontId="33" fillId="19" borderId="114" xfId="0" applyFont="1" applyFill="1" applyBorder="1" applyAlignment="1">
      <alignment horizontal="center"/>
    </xf>
    <xf numFmtId="0" fontId="33" fillId="19" borderId="0" xfId="0" applyFont="1" applyFill="1" applyAlignment="1">
      <alignment horizontal="center"/>
    </xf>
    <xf numFmtId="0" fontId="47" fillId="19" borderId="318" xfId="0" applyFont="1" applyFill="1" applyBorder="1" applyAlignment="1">
      <alignment horizontal="center" wrapText="1" readingOrder="1"/>
    </xf>
    <xf numFmtId="0" fontId="47" fillId="19" borderId="107" xfId="0" applyFont="1" applyFill="1" applyBorder="1" applyAlignment="1">
      <alignment horizontal="center" wrapText="1" readingOrder="1"/>
    </xf>
    <xf numFmtId="0" fontId="47" fillId="19" borderId="348" xfId="0" applyFont="1" applyFill="1" applyBorder="1" applyAlignment="1">
      <alignment horizontal="center" wrapText="1" readingOrder="1"/>
    </xf>
    <xf numFmtId="0" fontId="47" fillId="19" borderId="349" xfId="0" applyFont="1" applyFill="1" applyBorder="1" applyAlignment="1">
      <alignment horizontal="center" wrapText="1" readingOrder="1"/>
    </xf>
    <xf numFmtId="0" fontId="47" fillId="19" borderId="350" xfId="0" applyFont="1" applyFill="1" applyBorder="1" applyAlignment="1">
      <alignment horizontal="center" wrapText="1" readingOrder="1"/>
    </xf>
    <xf numFmtId="0" fontId="47" fillId="19" borderId="351" xfId="0" applyFont="1" applyFill="1" applyBorder="1" applyAlignment="1">
      <alignment horizontal="center" wrapText="1" readingOrder="1"/>
    </xf>
    <xf numFmtId="0" fontId="47" fillId="19" borderId="52" xfId="0" applyFont="1" applyFill="1" applyBorder="1" applyAlignment="1">
      <alignment horizontal="center" wrapText="1" readingOrder="1"/>
    </xf>
    <xf numFmtId="0" fontId="47" fillId="19" borderId="53" xfId="0" applyFont="1" applyFill="1" applyBorder="1" applyAlignment="1">
      <alignment horizontal="center" wrapText="1" readingOrder="1"/>
    </xf>
    <xf numFmtId="0" fontId="47" fillId="19" borderId="155" xfId="0" applyFont="1" applyFill="1" applyBorder="1" applyAlignment="1">
      <alignment horizontal="center" wrapText="1" readingOrder="1"/>
    </xf>
    <xf numFmtId="0" fontId="47" fillId="19" borderId="107" xfId="0" applyFont="1" applyFill="1" applyBorder="1" applyAlignment="1">
      <alignment horizontal="center" wrapText="1" readingOrder="1"/>
    </xf>
    <xf numFmtId="0" fontId="47" fillId="19" borderId="319" xfId="0" applyFont="1" applyFill="1" applyBorder="1" applyAlignment="1">
      <alignment horizontal="center" wrapText="1" readingOrder="1"/>
    </xf>
    <xf numFmtId="0" fontId="47" fillId="33" borderId="272" xfId="0" applyFont="1" applyFill="1" applyBorder="1" applyAlignment="1">
      <alignment horizontal="center" wrapText="1" readingOrder="1"/>
    </xf>
    <xf numFmtId="0" fontId="47" fillId="33" borderId="273" xfId="0" applyFont="1" applyFill="1" applyBorder="1" applyAlignment="1">
      <alignment horizontal="center" wrapText="1" readingOrder="1"/>
    </xf>
    <xf numFmtId="0" fontId="47" fillId="33" borderId="275" xfId="0" applyFont="1" applyFill="1" applyBorder="1" applyAlignment="1">
      <alignment horizontal="center" wrapText="1" readingOrder="1"/>
    </xf>
    <xf numFmtId="0" fontId="47" fillId="33" borderId="352" xfId="0" applyFont="1" applyFill="1" applyBorder="1" applyAlignment="1">
      <alignment horizontal="center" wrapText="1" readingOrder="1"/>
    </xf>
    <xf numFmtId="0" fontId="47" fillId="33" borderId="274" xfId="0" applyFont="1" applyFill="1" applyBorder="1" applyAlignment="1">
      <alignment horizontal="center" wrapText="1" readingOrder="1"/>
    </xf>
    <xf numFmtId="0" fontId="4" fillId="33" borderId="283" xfId="0" applyFont="1" applyFill="1" applyBorder="1" applyAlignment="1">
      <alignment horizontal="left" wrapText="1" readingOrder="1"/>
    </xf>
    <xf numFmtId="3" fontId="7" fillId="33" borderId="52" xfId="0" applyNumberFormat="1" applyFont="1" applyFill="1" applyBorder="1" applyAlignment="1">
      <alignment horizontal="center" wrapText="1" readingOrder="1"/>
    </xf>
    <xf numFmtId="3" fontId="7" fillId="33" borderId="53" xfId="0" applyNumberFormat="1" applyFont="1" applyFill="1" applyBorder="1" applyAlignment="1">
      <alignment horizontal="center" wrapText="1" readingOrder="1"/>
    </xf>
    <xf numFmtId="3" fontId="7" fillId="33" borderId="155" xfId="0" applyNumberFormat="1" applyFont="1" applyFill="1" applyBorder="1" applyAlignment="1">
      <alignment horizontal="center" wrapText="1" readingOrder="1"/>
    </xf>
    <xf numFmtId="3" fontId="7" fillId="33" borderId="168" xfId="0" applyNumberFormat="1" applyFont="1" applyFill="1" applyBorder="1" applyAlignment="1">
      <alignment horizontal="center" wrapText="1" readingOrder="1"/>
    </xf>
    <xf numFmtId="0" fontId="4" fillId="33" borderId="159" xfId="0" applyFont="1" applyFill="1" applyBorder="1" applyAlignment="1">
      <alignment horizontal="left" wrapText="1" readingOrder="1"/>
    </xf>
    <xf numFmtId="3" fontId="7" fillId="33" borderId="55" xfId="0" applyNumberFormat="1" applyFont="1" applyFill="1" applyBorder="1" applyAlignment="1">
      <alignment horizontal="center" wrapText="1" readingOrder="1"/>
    </xf>
    <xf numFmtId="3" fontId="7" fillId="33" borderId="56" xfId="0" applyNumberFormat="1" applyFont="1" applyFill="1" applyBorder="1" applyAlignment="1">
      <alignment horizontal="center" wrapText="1" readingOrder="1"/>
    </xf>
    <xf numFmtId="3" fontId="7" fillId="33" borderId="57" xfId="0" applyNumberFormat="1" applyFont="1" applyFill="1" applyBorder="1" applyAlignment="1">
      <alignment horizontal="center" wrapText="1" readingOrder="1"/>
    </xf>
    <xf numFmtId="0" fontId="19" fillId="34" borderId="326" xfId="0" applyFont="1" applyFill="1" applyBorder="1" applyAlignment="1">
      <alignment horizontal="left" wrapText="1" readingOrder="1"/>
    </xf>
    <xf numFmtId="0" fontId="19" fillId="34" borderId="325" xfId="0" applyFont="1" applyFill="1" applyBorder="1" applyAlignment="1">
      <alignment horizontal="left" wrapText="1" readingOrder="1"/>
    </xf>
    <xf numFmtId="3" fontId="7" fillId="34" borderId="322" xfId="0" applyNumberFormat="1" applyFont="1" applyFill="1" applyBorder="1" applyAlignment="1">
      <alignment horizontal="center" wrapText="1" readingOrder="1"/>
    </xf>
    <xf numFmtId="3" fontId="7" fillId="34" borderId="320" xfId="0" applyNumberFormat="1" applyFont="1" applyFill="1" applyBorder="1" applyAlignment="1">
      <alignment horizontal="center" wrapText="1" readingOrder="1"/>
    </xf>
    <xf numFmtId="3" fontId="7" fillId="34" borderId="321" xfId="0" applyNumberFormat="1" applyFont="1" applyFill="1" applyBorder="1" applyAlignment="1">
      <alignment horizontal="center" wrapText="1" readingOrder="1"/>
    </xf>
    <xf numFmtId="3" fontId="7" fillId="34" borderId="329" xfId="0" applyNumberFormat="1" applyFont="1" applyFill="1" applyBorder="1" applyAlignment="1">
      <alignment horizontal="center" wrapText="1" readingOrder="1"/>
    </xf>
    <xf numFmtId="3" fontId="7" fillId="34" borderId="330" xfId="0" applyNumberFormat="1" applyFont="1" applyFill="1" applyBorder="1" applyAlignment="1">
      <alignment horizontal="center" wrapText="1" readingOrder="1"/>
    </xf>
    <xf numFmtId="3" fontId="7" fillId="34" borderId="331" xfId="0" applyNumberFormat="1" applyFont="1" applyFill="1" applyBorder="1" applyAlignment="1">
      <alignment horizontal="center" wrapText="1" readingOrder="1"/>
    </xf>
    <xf numFmtId="0" fontId="18" fillId="34" borderId="326" xfId="0" applyFont="1" applyFill="1" applyBorder="1" applyAlignment="1">
      <alignment horizontal="right" wrapText="1" readingOrder="1"/>
    </xf>
    <xf numFmtId="3" fontId="49" fillId="34" borderId="323" xfId="0" applyNumberFormat="1" applyFont="1" applyFill="1" applyBorder="1" applyAlignment="1">
      <alignment horizontal="center" wrapText="1" readingOrder="1"/>
    </xf>
    <xf numFmtId="3" fontId="49" fillId="34" borderId="76" xfId="0" applyNumberFormat="1" applyFont="1" applyFill="1" applyBorder="1" applyAlignment="1">
      <alignment horizontal="center" wrapText="1" readingOrder="1"/>
    </xf>
    <xf numFmtId="3" fontId="49" fillId="34" borderId="82" xfId="0" applyNumberFormat="1" applyFont="1" applyFill="1" applyBorder="1" applyAlignment="1">
      <alignment horizontal="center" wrapText="1" readingOrder="1"/>
    </xf>
    <xf numFmtId="3" fontId="49" fillId="34" borderId="332" xfId="0" applyNumberFormat="1" applyFont="1" applyFill="1" applyBorder="1" applyAlignment="1">
      <alignment horizontal="center" wrapText="1" readingOrder="1"/>
    </xf>
    <xf numFmtId="3" fontId="49" fillId="34" borderId="333" xfId="0" applyNumberFormat="1" applyFont="1" applyFill="1" applyBorder="1" applyAlignment="1">
      <alignment horizontal="center" wrapText="1" readingOrder="1"/>
    </xf>
    <xf numFmtId="3" fontId="7" fillId="34" borderId="334" xfId="0" applyNumberFormat="1" applyFont="1" applyFill="1" applyBorder="1" applyAlignment="1">
      <alignment horizontal="center" wrapText="1" readingOrder="1"/>
    </xf>
    <xf numFmtId="3" fontId="7" fillId="34" borderId="323" xfId="0" applyNumberFormat="1" applyFont="1" applyFill="1" applyBorder="1" applyAlignment="1">
      <alignment horizontal="center" wrapText="1" readingOrder="1"/>
    </xf>
    <xf numFmtId="3" fontId="7" fillId="34" borderId="76" xfId="0" applyNumberFormat="1" applyFont="1" applyFill="1" applyBorder="1" applyAlignment="1">
      <alignment horizontal="center" wrapText="1" readingOrder="1"/>
    </xf>
    <xf numFmtId="3" fontId="7" fillId="34" borderId="82" xfId="0" applyNumberFormat="1" applyFont="1" applyFill="1" applyBorder="1" applyAlignment="1">
      <alignment horizontal="center" wrapText="1" readingOrder="1"/>
    </xf>
    <xf numFmtId="3" fontId="7" fillId="34" borderId="332" xfId="0" applyNumberFormat="1" applyFont="1" applyFill="1" applyBorder="1" applyAlignment="1">
      <alignment horizontal="center" wrapText="1" readingOrder="1"/>
    </xf>
    <xf numFmtId="3" fontId="7" fillId="34" borderId="333" xfId="0" applyNumberFormat="1" applyFont="1" applyFill="1" applyBorder="1" applyAlignment="1">
      <alignment horizontal="center" wrapText="1" readingOrder="1"/>
    </xf>
    <xf numFmtId="0" fontId="19" fillId="34" borderId="290" xfId="0" applyFont="1" applyFill="1" applyBorder="1" applyAlignment="1">
      <alignment horizontal="left" wrapText="1" readingOrder="1"/>
    </xf>
    <xf numFmtId="3" fontId="7" fillId="34" borderId="52" xfId="0" applyNumberFormat="1" applyFont="1" applyFill="1" applyBorder="1" applyAlignment="1">
      <alignment horizontal="center" wrapText="1" readingOrder="1"/>
    </xf>
    <xf numFmtId="3" fontId="7" fillId="34" borderId="53" xfId="0" applyNumberFormat="1" applyFont="1" applyFill="1" applyBorder="1" applyAlignment="1">
      <alignment horizontal="center" wrapText="1" readingOrder="1"/>
    </xf>
    <xf numFmtId="3" fontId="7" fillId="34" borderId="155" xfId="0" applyNumberFormat="1" applyFont="1" applyFill="1" applyBorder="1" applyAlignment="1">
      <alignment horizontal="center" wrapText="1" readingOrder="1"/>
    </xf>
    <xf numFmtId="3" fontId="7" fillId="34" borderId="160" xfId="0" applyNumberFormat="1" applyFont="1" applyFill="1" applyBorder="1" applyAlignment="1">
      <alignment horizontal="center" wrapText="1" readingOrder="1"/>
    </xf>
    <xf numFmtId="0" fontId="19" fillId="34" borderId="164" xfId="0" applyFont="1" applyFill="1" applyBorder="1" applyAlignment="1">
      <alignment horizontal="left" wrapText="1" readingOrder="1"/>
    </xf>
    <xf numFmtId="3" fontId="7" fillId="34" borderId="85" xfId="0" applyNumberFormat="1" applyFont="1" applyFill="1" applyBorder="1" applyAlignment="1">
      <alignment horizontal="center" wrapText="1" readingOrder="1"/>
    </xf>
    <xf numFmtId="3" fontId="7" fillId="34" borderId="86" xfId="0" applyNumberFormat="1" applyFont="1" applyFill="1" applyBorder="1" applyAlignment="1">
      <alignment horizontal="center" wrapText="1" readingOrder="1"/>
    </xf>
    <xf numFmtId="3" fontId="7" fillId="34" borderId="87" xfId="0" applyNumberFormat="1" applyFont="1" applyFill="1" applyBorder="1" applyAlignment="1">
      <alignment horizontal="center" wrapText="1" readingOrder="1"/>
    </xf>
    <xf numFmtId="3" fontId="7" fillId="34" borderId="161" xfId="0" applyNumberFormat="1" applyFont="1" applyFill="1" applyBorder="1" applyAlignment="1">
      <alignment horizontal="center" wrapText="1" readingOrder="1"/>
    </xf>
    <xf numFmtId="0" fontId="19" fillId="34" borderId="165" xfId="0" applyFont="1" applyFill="1" applyBorder="1" applyAlignment="1">
      <alignment horizontal="left" wrapText="1" readingOrder="1"/>
    </xf>
    <xf numFmtId="3" fontId="7" fillId="34" borderId="55" xfId="0" applyNumberFormat="1" applyFont="1" applyFill="1" applyBorder="1" applyAlignment="1">
      <alignment horizontal="center" wrapText="1" readingOrder="1"/>
    </xf>
    <xf numFmtId="3" fontId="7" fillId="34" borderId="56" xfId="0" applyNumberFormat="1" applyFont="1" applyFill="1" applyBorder="1" applyAlignment="1">
      <alignment horizontal="center" wrapText="1" readingOrder="1"/>
    </xf>
    <xf numFmtId="3" fontId="7" fillId="34" borderId="57" xfId="0" applyNumberFormat="1" applyFont="1" applyFill="1" applyBorder="1" applyAlignment="1">
      <alignment horizontal="center" wrapText="1" readingOrder="1"/>
    </xf>
    <xf numFmtId="3" fontId="7" fillId="34" borderId="162" xfId="0" applyNumberFormat="1" applyFont="1" applyFill="1" applyBorder="1" applyAlignment="1">
      <alignment horizontal="center" wrapText="1" readingOrder="1"/>
    </xf>
  </cellXfs>
  <cellStyles count="21">
    <cellStyle name="1" xfId="11" xr:uid="{E33E1205-C735-4ED6-BEF8-1D7B44D0F1A7}"/>
    <cellStyle name="10" xfId="19" xr:uid="{F768A4C1-18C4-4080-8E03-213A336AF0F3}"/>
    <cellStyle name="11" xfId="20" xr:uid="{77C06C0D-20BF-4304-8FF9-97C111666D81}"/>
    <cellStyle name="3" xfId="12" xr:uid="{622DD956-0BB2-4579-B5B3-66F3BD45AF3A}"/>
    <cellStyle name="4" xfId="13" xr:uid="{CD8E1160-85D8-4F74-BA38-CD9236221422}"/>
    <cellStyle name="5" xfId="14" xr:uid="{B24905F6-7EC0-43EB-91AC-4364AC9EE723}"/>
    <cellStyle name="6" xfId="15" xr:uid="{68A5066C-D23A-49CB-ADC1-A0A08E83C525}"/>
    <cellStyle name="7" xfId="16" xr:uid="{41899BE4-4714-4303-8EED-0321F9804084}"/>
    <cellStyle name="8" xfId="17" xr:uid="{81A4B887-12E4-4F7C-B275-97537ACFF6AE}"/>
    <cellStyle name="9" xfId="18" xr:uid="{8535D5F9-C02F-4B7E-A5DA-6274D9D5AF5F}"/>
    <cellStyle name="Millares" xfId="6" builtinId="3"/>
    <cellStyle name="Normal" xfId="0" builtinId="0"/>
    <cellStyle name="Normal_Hoja1" xfId="4" xr:uid="{00000000-0005-0000-0000-000003000000}"/>
    <cellStyle name="Normal_Spss_Univer" xfId="8" xr:uid="{00000000-0005-0000-0000-000009000000}"/>
    <cellStyle name="Normal_Spss_Univer_1" xfId="9" xr:uid="{00000000-0005-0000-0000-00000A000000}"/>
    <cellStyle name="Normal_Spss_Univer_2017" xfId="10" xr:uid="{00000000-0005-0000-0000-00000B000000}"/>
    <cellStyle name="Normal_SPSS_UNIVERSOS" xfId="5" xr:uid="{00000000-0005-0000-0000-00000C000000}"/>
    <cellStyle name="Normal_UNI_CDS_2015_1" xfId="3" xr:uid="{00000000-0005-0000-0000-00000D000000}"/>
    <cellStyle name="Normal_UNIV_CDES" xfId="1" xr:uid="{00000000-0005-0000-0000-00000E000000}"/>
    <cellStyle name="Normal_UNIV_LIMA" xfId="2" xr:uid="{00000000-0005-0000-0000-00000F000000}"/>
    <cellStyle name="Porcentaje" xfId="7" builtinId="5"/>
  </cellStyles>
  <dxfs count="0"/>
  <tableStyles count="0" defaultTableStyle="TableStyleMedium2" defaultPivotStyle="PivotStyleLight16"/>
  <colors>
    <mruColors>
      <color rgb="FFFFF0C5"/>
      <color rgb="FFFFE8A7"/>
      <color rgb="FFBF8F00"/>
      <color rgb="FFFFCC00"/>
      <color rgb="FFFFFFCC"/>
      <color rgb="FFBEA400"/>
      <color rgb="FFB48A54"/>
      <color rgb="FFF2D686"/>
      <color rgb="FFCC99FF"/>
      <color rgb="FFB04CE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chaveli\Universos\2016\Universos%202016%20Comparaciones%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2013"/>
      <sheetName val="2014"/>
      <sheetName val="2015"/>
      <sheetName val="UNIV_LIMA14"/>
      <sheetName val="UNIV_CDES14"/>
      <sheetName val="2016"/>
      <sheetName val="COMPARAR14"/>
      <sheetName val="UNI_LIM_15"/>
      <sheetName val="Uni_Lima_Cdes16"/>
      <sheetName val="UNI_CDS_15"/>
      <sheetName val="SPSS_UNIVERSOS"/>
      <sheetName val="Spss_Univer"/>
      <sheetName val="COM_2015"/>
      <sheetName val="Com_15_16"/>
      <sheetName val="NS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16">
          <cell r="F16">
            <v>0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6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R19" sqref="R19"/>
    </sheetView>
  </sheetViews>
  <sheetFormatPr baseColWidth="10" defaultRowHeight="14.4" x14ac:dyDescent="0.3"/>
  <cols>
    <col min="1" max="1" width="25.33203125" customWidth="1"/>
    <col min="6" max="6" width="9" customWidth="1"/>
    <col min="7" max="8" width="9.88671875" customWidth="1"/>
    <col min="9" max="9" width="10.44140625" customWidth="1"/>
    <col min="10" max="10" width="10.109375" customWidth="1"/>
    <col min="11" max="11" width="10.6640625" customWidth="1"/>
    <col min="12" max="12" width="10.44140625" customWidth="1"/>
    <col min="14" max="14" width="10.44140625" customWidth="1"/>
    <col min="15" max="15" width="10.5546875" customWidth="1"/>
  </cols>
  <sheetData>
    <row r="1" spans="1:16" ht="18" thickBot="1" x14ac:dyDescent="0.35">
      <c r="B1" s="1"/>
      <c r="C1" s="1"/>
      <c r="D1" s="1"/>
      <c r="E1" s="41"/>
      <c r="I1" s="41"/>
      <c r="M1" s="41"/>
      <c r="N1" s="2" t="s">
        <v>38</v>
      </c>
      <c r="O1" s="3"/>
    </row>
    <row r="2" spans="1:16" ht="15.6" x14ac:dyDescent="0.3">
      <c r="A2" s="4"/>
      <c r="B2" s="982" t="s">
        <v>0</v>
      </c>
      <c r="C2" s="983"/>
      <c r="D2" s="983"/>
      <c r="E2" s="984"/>
      <c r="F2" s="982" t="s">
        <v>1</v>
      </c>
      <c r="G2" s="983"/>
      <c r="H2" s="983"/>
      <c r="I2" s="983"/>
      <c r="J2" s="985" t="s">
        <v>2</v>
      </c>
      <c r="K2" s="986"/>
      <c r="L2" s="986"/>
      <c r="M2" s="987"/>
      <c r="N2" s="5" t="s">
        <v>3</v>
      </c>
      <c r="O2" s="6" t="s">
        <v>4</v>
      </c>
    </row>
    <row r="3" spans="1:16" ht="15.6" x14ac:dyDescent="0.3">
      <c r="A3" s="7"/>
      <c r="B3" s="8" t="s">
        <v>5</v>
      </c>
      <c r="C3" s="8" t="s">
        <v>6</v>
      </c>
      <c r="D3" s="9" t="s">
        <v>7</v>
      </c>
      <c r="E3" s="10" t="s">
        <v>8</v>
      </c>
      <c r="F3" s="8" t="s">
        <v>5</v>
      </c>
      <c r="G3" s="8" t="s">
        <v>6</v>
      </c>
      <c r="H3" s="9" t="s">
        <v>7</v>
      </c>
      <c r="I3" s="11" t="s">
        <v>8</v>
      </c>
      <c r="J3" s="12" t="s">
        <v>5</v>
      </c>
      <c r="K3" s="8" t="s">
        <v>6</v>
      </c>
      <c r="L3" s="9" t="s">
        <v>7</v>
      </c>
      <c r="M3" s="10" t="s">
        <v>8</v>
      </c>
      <c r="N3" s="10" t="s">
        <v>8</v>
      </c>
      <c r="O3" s="13" t="s">
        <v>8</v>
      </c>
    </row>
    <row r="4" spans="1:16" ht="15.6" x14ac:dyDescent="0.3">
      <c r="A4" s="14" t="s">
        <v>9</v>
      </c>
      <c r="B4" s="15">
        <v>538270</v>
      </c>
      <c r="C4" s="15">
        <v>876805</v>
      </c>
      <c r="D4" s="15">
        <v>958910</v>
      </c>
      <c r="E4" s="15">
        <f t="shared" ref="E4:E9" si="0">SUM(B4:D4)</f>
        <v>2373985</v>
      </c>
      <c r="F4" s="15">
        <v>109501</v>
      </c>
      <c r="G4" s="15">
        <v>272605</v>
      </c>
      <c r="H4" s="15">
        <v>433312</v>
      </c>
      <c r="I4" s="15">
        <f>SUM(F4:H4)</f>
        <v>815418</v>
      </c>
      <c r="J4" s="16">
        <f>B4+F4</f>
        <v>647771</v>
      </c>
      <c r="K4" s="16">
        <f t="shared" ref="K4:M4" si="1">C4+G4</f>
        <v>1149410</v>
      </c>
      <c r="L4" s="16">
        <f t="shared" si="1"/>
        <v>1392222</v>
      </c>
      <c r="M4" s="16">
        <f t="shared" si="1"/>
        <v>3189403</v>
      </c>
      <c r="N4" s="16">
        <v>395604</v>
      </c>
      <c r="O4" s="16">
        <v>419814</v>
      </c>
      <c r="P4" s="39"/>
    </row>
    <row r="5" spans="1:16" ht="15.6" x14ac:dyDescent="0.3">
      <c r="A5" s="14" t="s">
        <v>10</v>
      </c>
      <c r="B5" s="15">
        <v>489468</v>
      </c>
      <c r="C5" s="15">
        <v>658874</v>
      </c>
      <c r="D5" s="15">
        <v>428826</v>
      </c>
      <c r="E5" s="15">
        <f t="shared" si="0"/>
        <v>1577168</v>
      </c>
      <c r="F5" s="15">
        <v>82625</v>
      </c>
      <c r="G5" s="15">
        <v>128428</v>
      </c>
      <c r="H5" s="15">
        <v>49056</v>
      </c>
      <c r="I5" s="15">
        <v>260109</v>
      </c>
      <c r="J5" s="16">
        <f>B5+F5</f>
        <v>572093</v>
      </c>
      <c r="K5" s="16">
        <f t="shared" ref="K5" si="2">C5+G5</f>
        <v>787302</v>
      </c>
      <c r="L5" s="16">
        <f t="shared" ref="L5" si="3">D5+H5</f>
        <v>477882</v>
      </c>
      <c r="M5" s="16">
        <f t="shared" ref="M5" si="4">E5+I5</f>
        <v>1837277</v>
      </c>
      <c r="N5" s="42"/>
      <c r="O5" s="42"/>
      <c r="P5" s="40"/>
    </row>
    <row r="6" spans="1:16" ht="15.6" x14ac:dyDescent="0.3">
      <c r="A6" s="17" t="s">
        <v>35</v>
      </c>
      <c r="B6" s="18">
        <v>1962570</v>
      </c>
      <c r="C6" s="18">
        <v>3383382</v>
      </c>
      <c r="D6" s="18">
        <v>3620856</v>
      </c>
      <c r="E6" s="18">
        <f t="shared" si="0"/>
        <v>8966808</v>
      </c>
      <c r="F6" s="18">
        <v>403282</v>
      </c>
      <c r="G6" s="18">
        <v>1046579</v>
      </c>
      <c r="H6" s="18">
        <v>1690603</v>
      </c>
      <c r="I6" s="18">
        <v>3140464</v>
      </c>
      <c r="J6" s="18">
        <f>B6+F6</f>
        <v>2365852</v>
      </c>
      <c r="K6" s="18">
        <f t="shared" ref="K6" si="5">C6+G6</f>
        <v>4429961</v>
      </c>
      <c r="L6" s="18">
        <f t="shared" ref="L6" si="6">D6+H6</f>
        <v>5311459</v>
      </c>
      <c r="M6" s="18">
        <f t="shared" ref="M6" si="7">E6+I6</f>
        <v>12107272</v>
      </c>
      <c r="N6" s="18">
        <v>1610975</v>
      </c>
      <c r="O6" s="18">
        <v>1529489</v>
      </c>
      <c r="P6" s="39"/>
    </row>
    <row r="7" spans="1:16" ht="15.6" x14ac:dyDescent="0.3">
      <c r="A7" s="17" t="s">
        <v>11</v>
      </c>
      <c r="B7" s="18">
        <v>1792049</v>
      </c>
      <c r="C7" s="18">
        <v>2527452</v>
      </c>
      <c r="D7" s="18">
        <v>1686122</v>
      </c>
      <c r="E7" s="18">
        <f t="shared" si="0"/>
        <v>6005623</v>
      </c>
      <c r="F7" s="18"/>
      <c r="G7" s="18"/>
      <c r="H7" s="18"/>
      <c r="I7" s="18">
        <v>993124</v>
      </c>
      <c r="J7" s="37"/>
      <c r="K7" s="37"/>
      <c r="L7" s="37"/>
      <c r="M7" s="19"/>
      <c r="N7" s="19"/>
      <c r="O7" s="19"/>
      <c r="P7" s="39"/>
    </row>
    <row r="8" spans="1:16" ht="15.6" x14ac:dyDescent="0.3">
      <c r="A8" s="17" t="s">
        <v>12</v>
      </c>
      <c r="B8" s="18">
        <v>1029071</v>
      </c>
      <c r="C8" s="18">
        <v>1734522</v>
      </c>
      <c r="D8" s="18">
        <v>1843965</v>
      </c>
      <c r="E8" s="18">
        <f t="shared" si="0"/>
        <v>4607558</v>
      </c>
      <c r="F8" s="18">
        <v>203098</v>
      </c>
      <c r="G8" s="18">
        <v>551225</v>
      </c>
      <c r="H8" s="18">
        <v>874075</v>
      </c>
      <c r="I8" s="18">
        <v>1628398</v>
      </c>
      <c r="J8" s="18">
        <f t="shared" ref="J8:J9" si="8">B8+F8</f>
        <v>1232169</v>
      </c>
      <c r="K8" s="18">
        <f t="shared" ref="K8:K10" si="9">C8+G8</f>
        <v>2285747</v>
      </c>
      <c r="L8" s="18">
        <f t="shared" ref="L8:L10" si="10">D8+H8</f>
        <v>2718040</v>
      </c>
      <c r="M8" s="18">
        <f t="shared" ref="M8:M10" si="11">E8+I8</f>
        <v>6235956</v>
      </c>
      <c r="N8" s="18">
        <v>836001</v>
      </c>
      <c r="O8" s="18">
        <v>792397</v>
      </c>
      <c r="P8" s="39"/>
    </row>
    <row r="9" spans="1:16" ht="15.6" x14ac:dyDescent="0.3">
      <c r="A9" s="17" t="s">
        <v>13</v>
      </c>
      <c r="B9" s="18">
        <v>933499</v>
      </c>
      <c r="C9" s="18">
        <v>1648860</v>
      </c>
      <c r="D9" s="18">
        <v>1776891</v>
      </c>
      <c r="E9" s="18">
        <f t="shared" si="0"/>
        <v>4359250</v>
      </c>
      <c r="F9" s="18">
        <v>200184</v>
      </c>
      <c r="G9" s="18">
        <v>495354</v>
      </c>
      <c r="H9" s="18">
        <v>816528</v>
      </c>
      <c r="I9" s="18">
        <v>1512066</v>
      </c>
      <c r="J9" s="18">
        <f t="shared" si="8"/>
        <v>1133683</v>
      </c>
      <c r="K9" s="18">
        <f t="shared" si="9"/>
        <v>2144214</v>
      </c>
      <c r="L9" s="18">
        <f t="shared" si="10"/>
        <v>2593419</v>
      </c>
      <c r="M9" s="18">
        <f t="shared" si="11"/>
        <v>5871316</v>
      </c>
      <c r="N9" s="18">
        <v>774974</v>
      </c>
      <c r="O9" s="18">
        <v>737092</v>
      </c>
      <c r="P9" s="39"/>
    </row>
    <row r="10" spans="1:16" ht="15.6" x14ac:dyDescent="0.3">
      <c r="A10" s="20" t="s">
        <v>34</v>
      </c>
      <c r="B10" s="21">
        <f>B11+B12</f>
        <v>188736</v>
      </c>
      <c r="C10" s="21">
        <f t="shared" ref="C10:D10" si="12">C11+C12</f>
        <v>457302</v>
      </c>
      <c r="D10" s="21">
        <f t="shared" si="12"/>
        <v>661875</v>
      </c>
      <c r="E10" s="21">
        <f t="shared" ref="E10:E27" si="13">SUM(B10:D10)</f>
        <v>1307913</v>
      </c>
      <c r="F10" s="21">
        <v>44512</v>
      </c>
      <c r="G10" s="21">
        <v>123915</v>
      </c>
      <c r="H10" s="21">
        <v>295509</v>
      </c>
      <c r="I10" s="21">
        <v>463936</v>
      </c>
      <c r="J10" s="21">
        <f>B10+F10</f>
        <v>233248</v>
      </c>
      <c r="K10" s="21">
        <f t="shared" si="9"/>
        <v>581217</v>
      </c>
      <c r="L10" s="21">
        <f t="shared" si="10"/>
        <v>957384</v>
      </c>
      <c r="M10" s="21">
        <f t="shared" si="11"/>
        <v>1771849</v>
      </c>
      <c r="N10" s="22"/>
      <c r="O10" s="23"/>
      <c r="P10" s="39"/>
    </row>
    <row r="11" spans="1:16" ht="15.6" x14ac:dyDescent="0.3">
      <c r="A11" s="24" t="s">
        <v>36</v>
      </c>
      <c r="B11" s="25">
        <v>94048</v>
      </c>
      <c r="C11" s="25">
        <v>228991</v>
      </c>
      <c r="D11" s="25">
        <v>344523</v>
      </c>
      <c r="E11" s="25">
        <f t="shared" si="13"/>
        <v>667562</v>
      </c>
      <c r="F11" s="25"/>
      <c r="G11" s="25"/>
      <c r="H11" s="25"/>
      <c r="I11" s="25"/>
      <c r="J11" s="25"/>
      <c r="K11" s="25"/>
      <c r="L11" s="25"/>
      <c r="M11" s="25"/>
      <c r="N11" s="22"/>
      <c r="O11" s="23"/>
      <c r="P11" s="40"/>
    </row>
    <row r="12" spans="1:16" ht="15.6" x14ac:dyDescent="0.3">
      <c r="A12" s="24" t="s">
        <v>37</v>
      </c>
      <c r="B12" s="25">
        <v>94688</v>
      </c>
      <c r="C12" s="25">
        <v>228311</v>
      </c>
      <c r="D12" s="25">
        <v>317352</v>
      </c>
      <c r="E12" s="25">
        <f t="shared" si="13"/>
        <v>640351</v>
      </c>
      <c r="F12" s="25"/>
      <c r="G12" s="25"/>
      <c r="H12" s="25"/>
      <c r="I12" s="25"/>
      <c r="J12" s="25"/>
      <c r="K12" s="25"/>
      <c r="L12" s="25"/>
      <c r="M12" s="25"/>
      <c r="N12" s="22"/>
      <c r="O12" s="23"/>
      <c r="P12" s="40"/>
    </row>
    <row r="13" spans="1:16" ht="15.6" x14ac:dyDescent="0.3">
      <c r="A13" s="20" t="s">
        <v>14</v>
      </c>
      <c r="B13" s="21">
        <f>B14+B15</f>
        <v>189713</v>
      </c>
      <c r="C13" s="21">
        <f t="shared" ref="C13" si="14">C14+C15</f>
        <v>398377</v>
      </c>
      <c r="D13" s="21">
        <f t="shared" ref="D13" si="15">D14+D15</f>
        <v>492375</v>
      </c>
      <c r="E13" s="21">
        <f t="shared" si="13"/>
        <v>1080465</v>
      </c>
      <c r="F13" s="21">
        <v>44497</v>
      </c>
      <c r="G13" s="21">
        <v>127522</v>
      </c>
      <c r="H13" s="21">
        <v>243165</v>
      </c>
      <c r="I13" s="21">
        <v>415184</v>
      </c>
      <c r="J13" s="21">
        <f>B13+F13</f>
        <v>234210</v>
      </c>
      <c r="K13" s="21">
        <f t="shared" ref="K13" si="16">C13+G13</f>
        <v>525899</v>
      </c>
      <c r="L13" s="21">
        <f t="shared" ref="L13" si="17">D13+H13</f>
        <v>735540</v>
      </c>
      <c r="M13" s="21">
        <f t="shared" ref="M13" si="18">E13+I13</f>
        <v>1495649</v>
      </c>
      <c r="N13" s="22"/>
      <c r="O13" s="23"/>
      <c r="P13" s="40"/>
    </row>
    <row r="14" spans="1:16" ht="15.6" x14ac:dyDescent="0.3">
      <c r="A14" s="24" t="s">
        <v>15</v>
      </c>
      <c r="B14" s="25">
        <v>93117</v>
      </c>
      <c r="C14" s="25">
        <v>203878</v>
      </c>
      <c r="D14" s="25">
        <v>251226</v>
      </c>
      <c r="E14" s="25">
        <f t="shared" si="13"/>
        <v>548221</v>
      </c>
      <c r="F14" s="25"/>
      <c r="G14" s="25"/>
      <c r="H14" s="25"/>
      <c r="I14" s="25"/>
      <c r="J14" s="25"/>
      <c r="K14" s="25"/>
      <c r="L14" s="25"/>
      <c r="M14" s="25"/>
      <c r="N14" s="22"/>
      <c r="O14" s="23"/>
      <c r="P14" s="40"/>
    </row>
    <row r="15" spans="1:16" ht="15.6" x14ac:dyDescent="0.3">
      <c r="A15" s="24" t="s">
        <v>16</v>
      </c>
      <c r="B15" s="25">
        <v>96596</v>
      </c>
      <c r="C15" s="25">
        <v>194499</v>
      </c>
      <c r="D15" s="25">
        <v>241149</v>
      </c>
      <c r="E15" s="25">
        <f t="shared" si="13"/>
        <v>532244</v>
      </c>
      <c r="F15" s="25"/>
      <c r="G15" s="25"/>
      <c r="H15" s="25"/>
      <c r="I15" s="25"/>
      <c r="J15" s="25"/>
      <c r="K15" s="25"/>
      <c r="L15" s="25"/>
      <c r="M15" s="25"/>
      <c r="N15" s="22"/>
      <c r="O15" s="23"/>
      <c r="P15" s="40"/>
    </row>
    <row r="16" spans="1:16" ht="15.6" x14ac:dyDescent="0.3">
      <c r="A16" s="20" t="s">
        <v>17</v>
      </c>
      <c r="B16" s="21">
        <f>B17+B18</f>
        <v>300703</v>
      </c>
      <c r="C16" s="21">
        <f t="shared" ref="C16" si="19">C17+C18</f>
        <v>499789</v>
      </c>
      <c r="D16" s="21">
        <f t="shared" ref="D16" si="20">D17+D18</f>
        <v>610315</v>
      </c>
      <c r="E16" s="21">
        <f t="shared" si="13"/>
        <v>1410807</v>
      </c>
      <c r="F16" s="21">
        <v>64327</v>
      </c>
      <c r="G16" s="21">
        <v>173457</v>
      </c>
      <c r="H16" s="21">
        <v>287120</v>
      </c>
      <c r="I16" s="21">
        <v>524904</v>
      </c>
      <c r="J16" s="21">
        <f>B16+F16</f>
        <v>365030</v>
      </c>
      <c r="K16" s="21">
        <f t="shared" ref="K16" si="21">C16+G16</f>
        <v>673246</v>
      </c>
      <c r="L16" s="21">
        <f t="shared" ref="L16" si="22">D16+H16</f>
        <v>897435</v>
      </c>
      <c r="M16" s="21">
        <f t="shared" ref="M16" si="23">E16+I16</f>
        <v>1935711</v>
      </c>
      <c r="N16" s="22"/>
      <c r="O16" s="23"/>
      <c r="P16" s="40"/>
    </row>
    <row r="17" spans="1:16" ht="15.6" x14ac:dyDescent="0.3">
      <c r="A17" s="24" t="s">
        <v>18</v>
      </c>
      <c r="B17" s="25">
        <v>137360</v>
      </c>
      <c r="C17" s="25">
        <v>267318</v>
      </c>
      <c r="D17" s="25">
        <v>278732</v>
      </c>
      <c r="E17" s="25">
        <f t="shared" si="13"/>
        <v>683410</v>
      </c>
      <c r="F17" s="25"/>
      <c r="G17" s="25"/>
      <c r="H17" s="25"/>
      <c r="I17" s="25"/>
      <c r="J17" s="25"/>
      <c r="K17" s="25"/>
      <c r="L17" s="25"/>
      <c r="M17" s="25"/>
      <c r="N17" s="22"/>
      <c r="O17" s="23"/>
      <c r="P17" s="40"/>
    </row>
    <row r="18" spans="1:16" ht="15.6" x14ac:dyDescent="0.3">
      <c r="A18" s="24" t="s">
        <v>19</v>
      </c>
      <c r="B18" s="25">
        <v>163343</v>
      </c>
      <c r="C18" s="25">
        <v>232471</v>
      </c>
      <c r="D18" s="25">
        <v>331583</v>
      </c>
      <c r="E18" s="25">
        <f t="shared" si="13"/>
        <v>727397</v>
      </c>
      <c r="F18" s="25"/>
      <c r="G18" s="25"/>
      <c r="H18" s="25"/>
      <c r="I18" s="25"/>
      <c r="J18" s="25"/>
      <c r="K18" s="25"/>
      <c r="L18" s="25"/>
      <c r="M18" s="25"/>
      <c r="N18" s="22"/>
      <c r="O18" s="23"/>
      <c r="P18" s="40"/>
    </row>
    <row r="19" spans="1:16" ht="15.6" x14ac:dyDescent="0.3">
      <c r="A19" s="20" t="s">
        <v>20</v>
      </c>
      <c r="B19" s="21">
        <f>B20+B21</f>
        <v>392407</v>
      </c>
      <c r="C19" s="21">
        <f t="shared" ref="C19" si="24">C20+C21</f>
        <v>678579</v>
      </c>
      <c r="D19" s="21">
        <f t="shared" ref="D19" si="25">D20+D21</f>
        <v>807796</v>
      </c>
      <c r="E19" s="21">
        <f t="shared" si="13"/>
        <v>1878782</v>
      </c>
      <c r="F19" s="21">
        <v>78192</v>
      </c>
      <c r="G19" s="21">
        <v>211029</v>
      </c>
      <c r="H19" s="21">
        <v>350404</v>
      </c>
      <c r="I19" s="21">
        <v>639625</v>
      </c>
      <c r="J19" s="21">
        <f>B19+F19</f>
        <v>470599</v>
      </c>
      <c r="K19" s="21">
        <f t="shared" ref="K19" si="26">C19+G19</f>
        <v>889608</v>
      </c>
      <c r="L19" s="21">
        <f t="shared" ref="L19" si="27">D19+H19</f>
        <v>1158200</v>
      </c>
      <c r="M19" s="21">
        <f t="shared" ref="M19" si="28">E19+I19</f>
        <v>2518407</v>
      </c>
      <c r="N19" s="22"/>
      <c r="O19" s="23"/>
      <c r="P19" s="40"/>
    </row>
    <row r="20" spans="1:16" ht="15.6" x14ac:dyDescent="0.3">
      <c r="A20" s="24" t="s">
        <v>21</v>
      </c>
      <c r="B20" s="25">
        <v>193615</v>
      </c>
      <c r="C20" s="25">
        <v>310725</v>
      </c>
      <c r="D20" s="25">
        <v>386910</v>
      </c>
      <c r="E20" s="25">
        <f t="shared" si="13"/>
        <v>891250</v>
      </c>
      <c r="F20" s="25"/>
      <c r="G20" s="25"/>
      <c r="H20" s="25"/>
      <c r="I20" s="25"/>
      <c r="J20" s="25"/>
      <c r="K20" s="25"/>
      <c r="L20" s="25"/>
      <c r="M20" s="25"/>
      <c r="N20" s="22"/>
      <c r="O20" s="23"/>
      <c r="P20" s="40"/>
    </row>
    <row r="21" spans="1:16" ht="15.6" x14ac:dyDescent="0.3">
      <c r="A21" s="24" t="s">
        <v>22</v>
      </c>
      <c r="B21" s="25">
        <v>198792</v>
      </c>
      <c r="C21" s="25">
        <v>367854</v>
      </c>
      <c r="D21" s="25">
        <v>420886</v>
      </c>
      <c r="E21" s="25">
        <f t="shared" si="13"/>
        <v>987532</v>
      </c>
      <c r="F21" s="25"/>
      <c r="G21" s="25"/>
      <c r="H21" s="25"/>
      <c r="I21" s="25"/>
      <c r="J21" s="25"/>
      <c r="K21" s="25"/>
      <c r="L21" s="25"/>
      <c r="M21" s="25"/>
      <c r="N21" s="22"/>
      <c r="O21" s="23"/>
      <c r="P21" s="40"/>
    </row>
    <row r="22" spans="1:16" ht="15.6" x14ac:dyDescent="0.3">
      <c r="A22" s="20" t="s">
        <v>23</v>
      </c>
      <c r="B22" s="21">
        <f>B23+B24</f>
        <v>360272</v>
      </c>
      <c r="C22" s="21">
        <f t="shared" ref="C22" si="29">C23+C24</f>
        <v>548273</v>
      </c>
      <c r="D22" s="21">
        <f t="shared" ref="D22" si="30">D23+D24</f>
        <v>510161</v>
      </c>
      <c r="E22" s="21">
        <f t="shared" si="13"/>
        <v>1418706</v>
      </c>
      <c r="F22" s="21">
        <v>76299</v>
      </c>
      <c r="G22" s="21">
        <v>177769</v>
      </c>
      <c r="H22" s="21">
        <v>233167</v>
      </c>
      <c r="I22" s="21">
        <v>487235</v>
      </c>
      <c r="J22" s="21">
        <f>B22+F22</f>
        <v>436571</v>
      </c>
      <c r="K22" s="21">
        <f t="shared" ref="K22" si="31">C22+G22</f>
        <v>726042</v>
      </c>
      <c r="L22" s="21">
        <f t="shared" ref="L22" si="32">D22+H22</f>
        <v>743328</v>
      </c>
      <c r="M22" s="21">
        <f t="shared" ref="M22" si="33">E22+I22</f>
        <v>1905941</v>
      </c>
      <c r="N22" s="22"/>
      <c r="O22" s="23"/>
      <c r="P22" s="40"/>
    </row>
    <row r="23" spans="1:16" ht="15.6" x14ac:dyDescent="0.3">
      <c r="A23" s="24" t="s">
        <v>24</v>
      </c>
      <c r="B23" s="25">
        <v>167865</v>
      </c>
      <c r="C23" s="25">
        <v>269988</v>
      </c>
      <c r="D23" s="25">
        <v>260143</v>
      </c>
      <c r="E23" s="25">
        <f t="shared" si="13"/>
        <v>697996</v>
      </c>
      <c r="F23" s="25"/>
      <c r="G23" s="25"/>
      <c r="H23" s="25"/>
      <c r="I23" s="25"/>
      <c r="J23" s="25"/>
      <c r="K23" s="25"/>
      <c r="L23" s="25"/>
      <c r="M23" s="25"/>
      <c r="N23" s="22"/>
      <c r="O23" s="23"/>
      <c r="P23" s="40"/>
    </row>
    <row r="24" spans="1:16" ht="15.6" x14ac:dyDescent="0.3">
      <c r="A24" s="24" t="s">
        <v>25</v>
      </c>
      <c r="B24" s="25">
        <v>192407</v>
      </c>
      <c r="C24" s="25">
        <v>278285</v>
      </c>
      <c r="D24" s="25">
        <v>250018</v>
      </c>
      <c r="E24" s="25">
        <f t="shared" si="13"/>
        <v>720710</v>
      </c>
      <c r="F24" s="25"/>
      <c r="G24" s="25"/>
      <c r="H24" s="25"/>
      <c r="I24" s="25"/>
      <c r="J24" s="25"/>
      <c r="K24" s="25"/>
      <c r="L24" s="25"/>
      <c r="M24" s="25"/>
      <c r="N24" s="22"/>
      <c r="O24" s="23"/>
      <c r="P24" s="40"/>
    </row>
    <row r="25" spans="1:16" ht="15.6" x14ac:dyDescent="0.3">
      <c r="A25" s="20" t="s">
        <v>26</v>
      </c>
      <c r="B25" s="21">
        <f>B26+B27</f>
        <v>530739</v>
      </c>
      <c r="C25" s="21">
        <f t="shared" ref="C25" si="34">C26+C27</f>
        <v>801062</v>
      </c>
      <c r="D25" s="21">
        <f t="shared" ref="D25" si="35">D26+D27</f>
        <v>538334</v>
      </c>
      <c r="E25" s="21">
        <f t="shared" si="13"/>
        <v>1870135</v>
      </c>
      <c r="F25" s="21">
        <v>95455</v>
      </c>
      <c r="G25" s="21">
        <v>232887</v>
      </c>
      <c r="H25" s="21">
        <v>281238</v>
      </c>
      <c r="I25" s="21">
        <v>609580</v>
      </c>
      <c r="J25" s="21">
        <f>B25+F25</f>
        <v>626194</v>
      </c>
      <c r="K25" s="21">
        <f t="shared" ref="K25" si="36">C25+G25</f>
        <v>1033949</v>
      </c>
      <c r="L25" s="21">
        <f t="shared" ref="L25" si="37">D25+H25</f>
        <v>819572</v>
      </c>
      <c r="M25" s="21">
        <f t="shared" ref="M25" si="38">E25+I25</f>
        <v>2479715</v>
      </c>
      <c r="N25" s="22"/>
      <c r="O25" s="23"/>
      <c r="P25" s="40"/>
    </row>
    <row r="26" spans="1:16" ht="15.6" x14ac:dyDescent="0.3">
      <c r="A26" s="24" t="s">
        <v>27</v>
      </c>
      <c r="B26" s="25">
        <v>247494</v>
      </c>
      <c r="C26" s="25">
        <v>367960</v>
      </c>
      <c r="D26" s="25">
        <v>255357</v>
      </c>
      <c r="E26" s="25">
        <f t="shared" si="13"/>
        <v>870811</v>
      </c>
      <c r="F26" s="25"/>
      <c r="G26" s="25"/>
      <c r="H26" s="25"/>
      <c r="I26" s="25"/>
      <c r="J26" s="25"/>
      <c r="K26" s="25"/>
      <c r="L26" s="25"/>
      <c r="M26" s="25"/>
      <c r="N26" s="22"/>
      <c r="O26" s="23"/>
      <c r="P26" s="40"/>
    </row>
    <row r="27" spans="1:16" ht="15.6" x14ac:dyDescent="0.3">
      <c r="A27" s="24" t="s">
        <v>28</v>
      </c>
      <c r="B27" s="25">
        <v>283245</v>
      </c>
      <c r="C27" s="25">
        <v>433102</v>
      </c>
      <c r="D27" s="25">
        <v>282977</v>
      </c>
      <c r="E27" s="25">
        <f t="shared" si="13"/>
        <v>999324</v>
      </c>
      <c r="F27" s="25"/>
      <c r="G27" s="25"/>
      <c r="H27" s="25"/>
      <c r="I27" s="25"/>
      <c r="J27" s="25"/>
      <c r="K27" s="25"/>
      <c r="L27" s="25"/>
      <c r="M27" s="25"/>
      <c r="N27" s="22"/>
      <c r="O27" s="23"/>
      <c r="P27" s="40"/>
    </row>
    <row r="28" spans="1:16" ht="15.6" x14ac:dyDescent="0.3">
      <c r="A28" s="14" t="s">
        <v>29</v>
      </c>
      <c r="B28" s="15">
        <f>B4</f>
        <v>538270</v>
      </c>
      <c r="C28" s="15">
        <f t="shared" ref="C28:E28" si="39">C4</f>
        <v>876805</v>
      </c>
      <c r="D28" s="15">
        <f t="shared" si="39"/>
        <v>958910</v>
      </c>
      <c r="E28" s="15">
        <f t="shared" si="39"/>
        <v>2373985</v>
      </c>
      <c r="F28" s="15">
        <v>109501</v>
      </c>
      <c r="G28" s="15">
        <v>272605</v>
      </c>
      <c r="H28" s="15">
        <v>433312</v>
      </c>
      <c r="I28" s="15">
        <f>SUM(F28:H28)</f>
        <v>815418</v>
      </c>
      <c r="J28" s="15">
        <f>B28+F28</f>
        <v>647771</v>
      </c>
      <c r="K28" s="15">
        <f t="shared" ref="K28" si="40">C28+G28</f>
        <v>1149410</v>
      </c>
      <c r="L28" s="15">
        <f t="shared" ref="L28" si="41">D28+H28</f>
        <v>1392222</v>
      </c>
      <c r="M28" s="15">
        <f t="shared" ref="M28" si="42">E28+I28</f>
        <v>3189403</v>
      </c>
      <c r="N28" s="15">
        <f>N4</f>
        <v>395604</v>
      </c>
      <c r="O28" s="15">
        <f>O4</f>
        <v>419814</v>
      </c>
      <c r="P28" s="39"/>
    </row>
    <row r="29" spans="1:16" ht="16.2" thickBot="1" x14ac:dyDescent="0.35">
      <c r="A29" s="14" t="s">
        <v>30</v>
      </c>
      <c r="B29" s="15">
        <v>538270</v>
      </c>
      <c r="C29" s="15">
        <v>876805</v>
      </c>
      <c r="D29" s="15">
        <v>958910</v>
      </c>
      <c r="E29" s="15">
        <v>2373985</v>
      </c>
      <c r="F29" s="15">
        <v>109501</v>
      </c>
      <c r="G29" s="15">
        <v>272605</v>
      </c>
      <c r="H29" s="15">
        <v>433312</v>
      </c>
      <c r="I29" s="15">
        <f>SUM(F29:H29)</f>
        <v>815418</v>
      </c>
      <c r="J29" s="15">
        <f>B29+F29</f>
        <v>647771</v>
      </c>
      <c r="K29" s="15">
        <f t="shared" ref="K29" si="43">C29+G29</f>
        <v>1149410</v>
      </c>
      <c r="L29" s="15">
        <f t="shared" ref="L29" si="44">D29+H29</f>
        <v>1392222</v>
      </c>
      <c r="M29" s="15">
        <f t="shared" ref="M29" si="45">E29+I29</f>
        <v>3189403</v>
      </c>
      <c r="N29" s="15">
        <v>395604</v>
      </c>
      <c r="O29" s="15">
        <v>419814</v>
      </c>
      <c r="P29" s="39"/>
    </row>
    <row r="30" spans="1:16" ht="10.5" customHeight="1" thickBot="1" x14ac:dyDescent="0.35">
      <c r="A30" s="26"/>
      <c r="B30" s="27"/>
      <c r="C30" s="27"/>
      <c r="D30" s="27"/>
      <c r="E30" s="27"/>
      <c r="F30" s="36"/>
      <c r="G30" s="36"/>
      <c r="H30" s="36"/>
      <c r="I30" s="36"/>
      <c r="J30" s="29"/>
      <c r="K30" s="28"/>
      <c r="L30" s="28"/>
      <c r="M30" s="28"/>
      <c r="N30" s="28"/>
      <c r="O30" s="30"/>
      <c r="P30" s="40"/>
    </row>
    <row r="31" spans="1:16" ht="16.2" thickBot="1" x14ac:dyDescent="0.35">
      <c r="A31" s="31" t="s">
        <v>31</v>
      </c>
      <c r="B31" s="32">
        <f>B18+B21+B24+B27</f>
        <v>837787</v>
      </c>
      <c r="C31" s="32">
        <f t="shared" ref="C31:E31" si="46">C18+C21+C24+C27</f>
        <v>1311712</v>
      </c>
      <c r="D31" s="32">
        <f t="shared" si="46"/>
        <v>1285464</v>
      </c>
      <c r="E31" s="32">
        <f t="shared" si="46"/>
        <v>3434963</v>
      </c>
      <c r="F31" s="32">
        <v>161763</v>
      </c>
      <c r="G31" s="32">
        <v>423464</v>
      </c>
      <c r="H31" s="32">
        <v>598872</v>
      </c>
      <c r="I31" s="32">
        <v>1184099</v>
      </c>
      <c r="J31" s="32">
        <f t="shared" ref="J31:J33" si="47">B31+F31</f>
        <v>999550</v>
      </c>
      <c r="K31" s="32">
        <f t="shared" ref="K31:K33" si="48">C31+G31</f>
        <v>1735176</v>
      </c>
      <c r="L31" s="32">
        <f t="shared" ref="L31:L33" si="49">D31+H31</f>
        <v>1884336</v>
      </c>
      <c r="M31" s="32">
        <f t="shared" ref="M31:M33" si="50">E31+I31</f>
        <v>4619062</v>
      </c>
      <c r="N31" s="33"/>
      <c r="O31" s="34"/>
      <c r="P31" s="40"/>
    </row>
    <row r="32" spans="1:16" ht="16.2" thickBot="1" x14ac:dyDescent="0.35">
      <c r="A32" s="31" t="s">
        <v>32</v>
      </c>
      <c r="B32" s="32">
        <f>B17+B20+B23+B26</f>
        <v>746334</v>
      </c>
      <c r="C32" s="32">
        <f t="shared" ref="C32:E32" si="51">C17+C20+C23+C26</f>
        <v>1215991</v>
      </c>
      <c r="D32" s="32">
        <f t="shared" si="51"/>
        <v>1181142</v>
      </c>
      <c r="E32" s="32">
        <f t="shared" si="51"/>
        <v>3143467</v>
      </c>
      <c r="F32" s="32">
        <v>152510</v>
      </c>
      <c r="G32" s="32">
        <v>371678</v>
      </c>
      <c r="H32" s="32">
        <v>553057</v>
      </c>
      <c r="I32" s="32">
        <v>1077245</v>
      </c>
      <c r="J32" s="32">
        <f t="shared" si="47"/>
        <v>898844</v>
      </c>
      <c r="K32" s="32">
        <f t="shared" si="48"/>
        <v>1587669</v>
      </c>
      <c r="L32" s="32">
        <f t="shared" si="49"/>
        <v>1734199</v>
      </c>
      <c r="M32" s="32">
        <f t="shared" si="50"/>
        <v>4220712</v>
      </c>
      <c r="N32" s="33"/>
      <c r="O32" s="34"/>
      <c r="P32" s="40"/>
    </row>
    <row r="33" spans="1:16" ht="16.2" thickBot="1" x14ac:dyDescent="0.35">
      <c r="A33" s="31" t="s">
        <v>33</v>
      </c>
      <c r="B33" s="35">
        <f>SUM(B31:B32)</f>
        <v>1584121</v>
      </c>
      <c r="C33" s="35">
        <f t="shared" ref="C33:E33" si="52">SUM(C31:C32)</f>
        <v>2527703</v>
      </c>
      <c r="D33" s="35">
        <f t="shared" si="52"/>
        <v>2466606</v>
      </c>
      <c r="E33" s="35">
        <f t="shared" si="52"/>
        <v>6578430</v>
      </c>
      <c r="F33" s="35">
        <f>SUM(F31:F32)</f>
        <v>314273</v>
      </c>
      <c r="G33" s="35">
        <f t="shared" ref="G33:I33" si="53">SUM(G31:G32)</f>
        <v>795142</v>
      </c>
      <c r="H33" s="35">
        <f t="shared" si="53"/>
        <v>1151929</v>
      </c>
      <c r="I33" s="35">
        <f t="shared" si="53"/>
        <v>2261344</v>
      </c>
      <c r="J33" s="35">
        <f t="shared" si="47"/>
        <v>1898394</v>
      </c>
      <c r="K33" s="35">
        <f t="shared" si="48"/>
        <v>3322845</v>
      </c>
      <c r="L33" s="35">
        <f t="shared" si="49"/>
        <v>3618535</v>
      </c>
      <c r="M33" s="35">
        <f t="shared" si="50"/>
        <v>8839774</v>
      </c>
      <c r="N33" s="33"/>
      <c r="O33" s="34"/>
      <c r="P33" s="39"/>
    </row>
    <row r="35" spans="1:16" x14ac:dyDescent="0.3">
      <c r="B35" s="38"/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</row>
    <row r="36" spans="1:16" x14ac:dyDescent="0.3">
      <c r="B36" s="38"/>
      <c r="C36" s="38"/>
      <c r="D36" s="38"/>
      <c r="E36" s="38"/>
      <c r="F36" s="38"/>
      <c r="G36" s="38"/>
      <c r="H36" s="38"/>
      <c r="I36" s="38"/>
      <c r="J36" s="38"/>
      <c r="K36" s="38"/>
      <c r="L36" s="38"/>
      <c r="M36" s="38"/>
    </row>
  </sheetData>
  <mergeCells count="3">
    <mergeCell ref="B2:E2"/>
    <mergeCell ref="F2:I2"/>
    <mergeCell ref="J2:M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B0F0"/>
  </sheetPr>
  <dimension ref="A1:K86"/>
  <sheetViews>
    <sheetView zoomScale="120" zoomScaleNormal="120" workbookViewId="0">
      <selection activeCell="A2" sqref="A1:L1048576"/>
    </sheetView>
  </sheetViews>
  <sheetFormatPr baseColWidth="10" defaultRowHeight="14.4" x14ac:dyDescent="0.3"/>
  <cols>
    <col min="1" max="1" width="24.6640625" bestFit="1" customWidth="1"/>
    <col min="2" max="2" width="10.33203125" bestFit="1" customWidth="1"/>
    <col min="3" max="3" width="11.33203125" bestFit="1" customWidth="1"/>
    <col min="4" max="5" width="10.33203125" bestFit="1" customWidth="1"/>
    <col min="6" max="7" width="9.109375" bestFit="1" customWidth="1"/>
    <col min="8" max="8" width="19.109375" customWidth="1"/>
  </cols>
  <sheetData>
    <row r="1" spans="1:9" ht="21" customHeight="1" thickBot="1" x14ac:dyDescent="0.35">
      <c r="A1" s="1062" t="s">
        <v>133</v>
      </c>
      <c r="B1" s="1062"/>
      <c r="C1" s="1062"/>
      <c r="D1" s="1062"/>
      <c r="E1" s="1062"/>
      <c r="F1" s="1062"/>
      <c r="G1" s="1062"/>
    </row>
    <row r="2" spans="1:9" ht="15" thickBot="1" x14ac:dyDescent="0.35">
      <c r="A2" s="372"/>
      <c r="B2" s="478" t="s">
        <v>92</v>
      </c>
      <c r="C2" s="479" t="s">
        <v>6</v>
      </c>
      <c r="D2" s="480" t="s">
        <v>93</v>
      </c>
      <c r="E2" s="478" t="s">
        <v>116</v>
      </c>
      <c r="F2" s="479" t="s">
        <v>106</v>
      </c>
      <c r="G2" s="481" t="s">
        <v>107</v>
      </c>
      <c r="H2" s="151" t="s">
        <v>117</v>
      </c>
    </row>
    <row r="3" spans="1:9" x14ac:dyDescent="0.3">
      <c r="A3" s="483" t="s">
        <v>52</v>
      </c>
      <c r="B3" s="493">
        <f>ROUND(SPSS_UNIVERSOS!E7,0)</f>
        <v>118146</v>
      </c>
      <c r="C3" s="493">
        <f>ROUND(SPSS_UNIVERSOS!F7,0)</f>
        <v>158211</v>
      </c>
      <c r="D3" s="493">
        <f>ROUND(SPSS_UNIVERSOS!G7,0)</f>
        <v>69731</v>
      </c>
      <c r="E3" s="493">
        <f>SUM(B3:D3)</f>
        <v>346088</v>
      </c>
      <c r="F3" s="487"/>
      <c r="G3" s="463"/>
      <c r="H3" s="44">
        <f>F5+G5</f>
        <v>864111.91875318578</v>
      </c>
    </row>
    <row r="4" spans="1:9" x14ac:dyDescent="0.3">
      <c r="A4" s="484" t="s">
        <v>53</v>
      </c>
      <c r="B4" s="494">
        <f>ROUND(SPSS_UNIVERSOS!E8,0)</f>
        <v>26832</v>
      </c>
      <c r="C4" s="494">
        <f>ROUNDUP(SPSS_UNIVERSOS!F8,0)</f>
        <v>161129</v>
      </c>
      <c r="D4" s="494">
        <f>ROUNDUP(SPSS_UNIVERSOS!G8,0)</f>
        <v>330063</v>
      </c>
      <c r="E4" s="494">
        <f>SUM(B4:D4)</f>
        <v>518024</v>
      </c>
      <c r="F4" s="488"/>
      <c r="G4" s="464"/>
    </row>
    <row r="5" spans="1:9" ht="15.75" customHeight="1" x14ac:dyDescent="0.3">
      <c r="A5" s="485" t="s">
        <v>57</v>
      </c>
      <c r="B5" s="495">
        <f>SUM(B3:B4)</f>
        <v>144978</v>
      </c>
      <c r="C5" s="495">
        <f t="shared" ref="C5:D5" si="0">SUM(C3:C4)</f>
        <v>319340</v>
      </c>
      <c r="D5" s="495">
        <f t="shared" si="0"/>
        <v>399794</v>
      </c>
      <c r="E5" s="495">
        <f>SUM(B5:D5)</f>
        <v>864112</v>
      </c>
      <c r="F5" s="489">
        <f>SPSS_UNIVERSOS!C31+SPSS_UNIVERSOS!D31+SPSS_UNIVERSOS!E31</f>
        <v>439328.52150365105</v>
      </c>
      <c r="G5" s="462">
        <f>SPSS_UNIVERSOS!C32+SPSS_UNIVERSOS!D32+SPSS_UNIVERSOS!E32</f>
        <v>424783.39724953473</v>
      </c>
      <c r="H5">
        <v>864112</v>
      </c>
      <c r="I5" s="44">
        <f>H5-E5</f>
        <v>0</v>
      </c>
    </row>
    <row r="6" spans="1:9" x14ac:dyDescent="0.3">
      <c r="A6" s="484" t="s">
        <v>88</v>
      </c>
      <c r="B6" s="496">
        <f>B5</f>
        <v>144978</v>
      </c>
      <c r="C6" s="496">
        <f t="shared" ref="C6:D6" si="1">C5</f>
        <v>319340</v>
      </c>
      <c r="D6" s="496">
        <f t="shared" si="1"/>
        <v>399794</v>
      </c>
      <c r="E6" s="496">
        <f>SUM(B6:D6)</f>
        <v>864112</v>
      </c>
      <c r="F6" s="490"/>
      <c r="G6" s="465"/>
    </row>
    <row r="7" spans="1:9" x14ac:dyDescent="0.3">
      <c r="A7" s="484" t="s">
        <v>146</v>
      </c>
      <c r="B7" s="497">
        <f>ROUNDDOWN(SUM(SPSS_UNIVERSOS!Q47:Q53),0)</f>
        <v>465691</v>
      </c>
      <c r="C7" s="497">
        <f>ROUND(SUM(SPSS_UNIVERSOS!R47:R53),0)</f>
        <v>647342</v>
      </c>
      <c r="D7" s="497">
        <f>ROUND(SUM(SPSS_UNIVERSOS!S47:S53),0)</f>
        <v>280171</v>
      </c>
      <c r="E7" s="496">
        <f t="shared" ref="E7:E8" si="2">SUM(B7:D7)</f>
        <v>1393204</v>
      </c>
      <c r="F7" s="491"/>
      <c r="G7" s="466"/>
      <c r="H7" s="44">
        <f>E7+E8</f>
        <v>3413549</v>
      </c>
    </row>
    <row r="8" spans="1:9" ht="15" thickBot="1" x14ac:dyDescent="0.35">
      <c r="A8" s="486" t="s">
        <v>147</v>
      </c>
      <c r="B8" s="498">
        <f>ROUND(SUM(SPSS_UNIVERSOS!Q40:Q46),0)</f>
        <v>107349</v>
      </c>
      <c r="C8" s="498">
        <f>ROUND(SUM(SPSS_UNIVERSOS!R40:R46),0)</f>
        <v>647258</v>
      </c>
      <c r="D8" s="498">
        <f>ROUNDDOWN(SUM(SPSS_UNIVERSOS!S40:S46),0)</f>
        <v>1265738</v>
      </c>
      <c r="E8" s="499">
        <f t="shared" si="2"/>
        <v>2020345</v>
      </c>
      <c r="F8" s="492"/>
      <c r="G8" s="467"/>
    </row>
    <row r="9" spans="1:9" x14ac:dyDescent="0.3">
      <c r="A9" s="482"/>
      <c r="B9" s="482"/>
      <c r="C9" s="482"/>
      <c r="D9" s="482"/>
      <c r="E9" s="482"/>
      <c r="F9" s="482"/>
      <c r="G9" s="482"/>
    </row>
    <row r="10" spans="1:9" x14ac:dyDescent="0.3">
      <c r="A10" s="477" t="s">
        <v>56</v>
      </c>
      <c r="B10" s="470">
        <f>B11+B12</f>
        <v>552200</v>
      </c>
      <c r="C10" s="470">
        <f>C11+C12</f>
        <v>1250289.0500064683</v>
      </c>
      <c r="D10" s="470">
        <f>D11+D12</f>
        <v>1469906.1166061438</v>
      </c>
      <c r="E10" s="470">
        <f>SUM(B10:D10)</f>
        <v>3272395.1666126121</v>
      </c>
      <c r="F10" s="471">
        <f>ROUNDDOWN(SUM(SPSS_UNIVERSOS!AK6:AM11),0)</f>
        <v>1724549</v>
      </c>
      <c r="G10" s="472">
        <f>ROUNDUP(SUM(SPSS_UNIVERSOS!AK13:AM18),0)</f>
        <v>1547846</v>
      </c>
      <c r="H10" s="44">
        <f>G10+F10</f>
        <v>3272395</v>
      </c>
    </row>
    <row r="11" spans="1:9" x14ac:dyDescent="0.3">
      <c r="A11" s="396" t="s">
        <v>64</v>
      </c>
      <c r="B11" s="398">
        <f>ROUND(SUM(SPSS_UNIVERSOS!Q13:Q18),0)</f>
        <v>449062</v>
      </c>
      <c r="C11" s="398">
        <f>SUM(SPSS_UNIVERSOS!R13:R18)</f>
        <v>623439.75001254561</v>
      </c>
      <c r="D11" s="398">
        <f>SUM(SPSS_UNIVERSOS!S13:S18)</f>
        <v>265497.55715550028</v>
      </c>
      <c r="E11" s="398">
        <f>SUM(B11:D11)</f>
        <v>1337999.307168046</v>
      </c>
      <c r="F11" s="397"/>
      <c r="G11" s="399"/>
    </row>
    <row r="12" spans="1:9" ht="15" thickBot="1" x14ac:dyDescent="0.35">
      <c r="A12" s="395" t="s">
        <v>91</v>
      </c>
      <c r="B12" s="400">
        <f>ROUND(SUM(SPSS_UNIVERSOS!Q6:Q11),0)</f>
        <v>103138</v>
      </c>
      <c r="C12" s="400">
        <f>SUM(SPSS_UNIVERSOS!R6:R11)</f>
        <v>626849.2999939227</v>
      </c>
      <c r="D12" s="400">
        <f>SUM(SPSS_UNIVERSOS!S6:S11)</f>
        <v>1204408.5594506436</v>
      </c>
      <c r="E12" s="398">
        <f>SUM(B12:D12)</f>
        <v>1934395.8594445663</v>
      </c>
      <c r="F12" s="401"/>
      <c r="G12" s="402"/>
    </row>
    <row r="13" spans="1:9" ht="15" thickBot="1" x14ac:dyDescent="0.35">
      <c r="A13" s="457"/>
      <c r="B13" s="453"/>
      <c r="C13" s="454"/>
      <c r="D13" s="455"/>
      <c r="E13" s="453"/>
      <c r="F13" s="454"/>
      <c r="G13" s="456"/>
    </row>
    <row r="14" spans="1:9" x14ac:dyDescent="0.3">
      <c r="A14" s="468" t="s">
        <v>65</v>
      </c>
      <c r="B14" s="403">
        <f>B19+B22+B25+B28+B31+B34</f>
        <v>283679</v>
      </c>
      <c r="C14" s="403">
        <f>C19+C22+C25+C28+C31+C34</f>
        <v>655158</v>
      </c>
      <c r="D14" s="403">
        <f>D19+D22+D25+D28+D31+D34</f>
        <v>762401</v>
      </c>
      <c r="E14" s="403">
        <f>SUM(B14:D14)</f>
        <v>1701238</v>
      </c>
      <c r="F14" s="404">
        <f>ROUNDDOWN(SUM(SPSS_UNIVERSOS!AV8:AX13),0)</f>
        <v>895414</v>
      </c>
      <c r="G14" s="405">
        <f>ROUND(SUM(SPSS_UNIVERSOS!AV15:AX20),0)</f>
        <v>805824</v>
      </c>
      <c r="H14" s="44">
        <f>E14+E15</f>
        <v>3272395</v>
      </c>
      <c r="I14" s="44">
        <f>F14+G14</f>
        <v>1701238</v>
      </c>
    </row>
    <row r="15" spans="1:9" ht="15" thickBot="1" x14ac:dyDescent="0.35">
      <c r="A15" s="395" t="s">
        <v>66</v>
      </c>
      <c r="B15" s="400">
        <f>B18+B21+B24+B27+B30+B33</f>
        <v>268521</v>
      </c>
      <c r="C15" s="400">
        <f>C18+C21+C24+C27+C30+C33</f>
        <v>595131</v>
      </c>
      <c r="D15" s="400">
        <f>D18+D21+D24+D27+D30+D33</f>
        <v>707505</v>
      </c>
      <c r="E15" s="403">
        <f>SUM(B15:D15)</f>
        <v>1571157</v>
      </c>
      <c r="F15" s="401">
        <f>ROUND(SUM(SPSS_UNIVERSOS!AS8:AU13),0)</f>
        <v>829135</v>
      </c>
      <c r="G15" s="402">
        <f>ROUND(SUM(SPSS_UNIVERSOS!AS15:AU20),0)</f>
        <v>742022</v>
      </c>
      <c r="H15" s="44">
        <f>H14-K17</f>
        <v>0</v>
      </c>
      <c r="I15" s="44">
        <f>F15+G15</f>
        <v>1571157</v>
      </c>
    </row>
    <row r="16" spans="1:9" ht="16.5" customHeight="1" thickBot="1" x14ac:dyDescent="0.35">
      <c r="A16" s="457"/>
      <c r="B16" s="458"/>
      <c r="C16" s="459"/>
      <c r="D16" s="460"/>
      <c r="E16" s="458"/>
      <c r="F16" s="459"/>
      <c r="G16" s="461"/>
    </row>
    <row r="17" spans="1:11" x14ac:dyDescent="0.3">
      <c r="A17" s="503" t="s">
        <v>67</v>
      </c>
      <c r="B17" s="504">
        <f>B18+B19</f>
        <v>61931</v>
      </c>
      <c r="C17" s="504">
        <f t="shared" ref="C17:D17" si="3">C18+C19</f>
        <v>173289</v>
      </c>
      <c r="D17" s="504">
        <f t="shared" si="3"/>
        <v>247252</v>
      </c>
      <c r="E17" s="505">
        <f>SUM(B17:D17)</f>
        <v>482472</v>
      </c>
      <c r="F17" s="500"/>
      <c r="G17" s="472"/>
      <c r="H17" s="44">
        <f>B17+B20+B23+B26+B29+B32</f>
        <v>552200</v>
      </c>
      <c r="I17" s="44">
        <f>C17+C20+C23+C26+C29+C32</f>
        <v>1250289</v>
      </c>
      <c r="J17" s="44">
        <f t="shared" ref="J17" si="4">D17+D20+D23+D26+D29+D32</f>
        <v>1469906</v>
      </c>
      <c r="K17" s="44">
        <f>SUM(H17:J17)</f>
        <v>3272395</v>
      </c>
    </row>
    <row r="18" spans="1:11" x14ac:dyDescent="0.3">
      <c r="A18" s="396" t="s">
        <v>68</v>
      </c>
      <c r="B18" s="497">
        <f>ROUND(SPSS_UNIVERSOS!Z8,0)</f>
        <v>28901</v>
      </c>
      <c r="C18" s="497">
        <f>ROUND(SPSS_UNIVERSOS!AA8,0)</f>
        <v>89234</v>
      </c>
      <c r="D18" s="497">
        <f>ROUND(SPSS_UNIVERSOS!AB8,0)</f>
        <v>129893</v>
      </c>
      <c r="E18" s="506">
        <f>B18+C18+D18</f>
        <v>248028</v>
      </c>
      <c r="F18" s="501"/>
      <c r="G18" s="399"/>
      <c r="H18" s="44">
        <f>H17-B10</f>
        <v>0</v>
      </c>
      <c r="I18" s="44">
        <f>I17-C10</f>
        <v>-5.0006468314677477E-2</v>
      </c>
      <c r="J18" s="44">
        <f t="shared" ref="J18" si="5">J17-D10</f>
        <v>-0.11660614376887679</v>
      </c>
    </row>
    <row r="19" spans="1:11" ht="15" thickBot="1" x14ac:dyDescent="0.35">
      <c r="A19" s="395" t="s">
        <v>69</v>
      </c>
      <c r="B19" s="498">
        <f>ROUND(SPSS_UNIVERSOS!AC8,0)</f>
        <v>33030</v>
      </c>
      <c r="C19" s="498">
        <f>ROUND(SPSS_UNIVERSOS!AD8,0)</f>
        <v>84055</v>
      </c>
      <c r="D19" s="498">
        <f>ROUND(SPSS_UNIVERSOS!AE8,0)</f>
        <v>117359</v>
      </c>
      <c r="E19" s="507">
        <f>B19+C19+D19</f>
        <v>234444</v>
      </c>
      <c r="F19" s="502"/>
      <c r="G19" s="402"/>
    </row>
    <row r="20" spans="1:11" x14ac:dyDescent="0.3">
      <c r="A20" s="503" t="s">
        <v>70</v>
      </c>
      <c r="B20" s="504">
        <f>B21+B22</f>
        <v>61106</v>
      </c>
      <c r="C20" s="504">
        <f t="shared" ref="C20:D20" si="6">C21+C22</f>
        <v>144779</v>
      </c>
      <c r="D20" s="504">
        <f t="shared" si="6"/>
        <v>182210</v>
      </c>
      <c r="E20" s="505">
        <f>SUM(B20:D20)</f>
        <v>388095</v>
      </c>
      <c r="F20" s="500"/>
      <c r="G20" s="472"/>
    </row>
    <row r="21" spans="1:11" x14ac:dyDescent="0.3">
      <c r="A21" s="396" t="s">
        <v>74</v>
      </c>
      <c r="B21" s="497">
        <f>ROUND(SPSS_UNIVERSOS!Z9,0)</f>
        <v>35281</v>
      </c>
      <c r="C21" s="497">
        <f>ROUND(SPSS_UNIVERSOS!AA9,0)</f>
        <v>76392</v>
      </c>
      <c r="D21" s="497">
        <f>ROUND(SPSS_UNIVERSOS!AB9,0)</f>
        <v>90126</v>
      </c>
      <c r="E21" s="506">
        <f t="shared" ref="E21:E34" si="7">D21+C21+B21</f>
        <v>201799</v>
      </c>
      <c r="F21" s="501"/>
      <c r="G21" s="399"/>
    </row>
    <row r="22" spans="1:11" ht="15" thickBot="1" x14ac:dyDescent="0.35">
      <c r="A22" s="395" t="s">
        <v>75</v>
      </c>
      <c r="B22" s="498">
        <f>ROUND(SPSS_UNIVERSOS!AC9,0)</f>
        <v>25825</v>
      </c>
      <c r="C22" s="498">
        <f>ROUNDUP(SPSS_UNIVERSOS!AD9,0)</f>
        <v>68387</v>
      </c>
      <c r="D22" s="498">
        <f>ROUND(SPSS_UNIVERSOS!AE9,0)</f>
        <v>92084</v>
      </c>
      <c r="E22" s="507">
        <f t="shared" si="7"/>
        <v>186296</v>
      </c>
      <c r="F22" s="502"/>
      <c r="G22" s="402"/>
    </row>
    <row r="23" spans="1:11" x14ac:dyDescent="0.3">
      <c r="A23" s="503" t="s">
        <v>71</v>
      </c>
      <c r="B23" s="504">
        <f>B24+B25</f>
        <v>86801</v>
      </c>
      <c r="C23" s="504">
        <f t="shared" ref="C23:D23" si="8">C24+C25</f>
        <v>206396</v>
      </c>
      <c r="D23" s="504">
        <f t="shared" si="8"/>
        <v>277298</v>
      </c>
      <c r="E23" s="505">
        <f t="shared" si="7"/>
        <v>570495</v>
      </c>
      <c r="F23" s="500"/>
      <c r="G23" s="472"/>
    </row>
    <row r="24" spans="1:11" x14ac:dyDescent="0.3">
      <c r="A24" s="396" t="s">
        <v>76</v>
      </c>
      <c r="B24" s="497">
        <f>ROUND(SPSS_UNIVERSOS!Z10,0)</f>
        <v>42679</v>
      </c>
      <c r="C24" s="497">
        <f>ROUND(SPSS_UNIVERSOS!AA10,0)</f>
        <v>98487</v>
      </c>
      <c r="D24" s="497">
        <f>ROUND(SPSS_UNIVERSOS!AB10,0)</f>
        <v>132080</v>
      </c>
      <c r="E24" s="506">
        <f t="shared" si="7"/>
        <v>273246</v>
      </c>
      <c r="F24" s="501"/>
      <c r="G24" s="399"/>
    </row>
    <row r="25" spans="1:11" ht="15" thickBot="1" x14ac:dyDescent="0.35">
      <c r="A25" s="395" t="s">
        <v>77</v>
      </c>
      <c r="B25" s="498">
        <f>ROUND(SPSS_UNIVERSOS!AC10,0)</f>
        <v>44122</v>
      </c>
      <c r="C25" s="498">
        <f>ROUND(SPSS_UNIVERSOS!AD10,0)</f>
        <v>107909</v>
      </c>
      <c r="D25" s="498">
        <f>ROUND(SPSS_UNIVERSOS!AE10,0)</f>
        <v>145218</v>
      </c>
      <c r="E25" s="507">
        <f t="shared" si="7"/>
        <v>297249</v>
      </c>
      <c r="F25" s="502"/>
      <c r="G25" s="402"/>
    </row>
    <row r="26" spans="1:11" x14ac:dyDescent="0.3">
      <c r="A26" s="503" t="s">
        <v>87</v>
      </c>
      <c r="B26" s="508">
        <f>B27+B28</f>
        <v>103324</v>
      </c>
      <c r="C26" s="504">
        <f t="shared" ref="C26:D26" si="9">C27+C28</f>
        <v>242735</v>
      </c>
      <c r="D26" s="508">
        <f t="shared" si="9"/>
        <v>309240</v>
      </c>
      <c r="E26" s="505">
        <f t="shared" si="7"/>
        <v>655299</v>
      </c>
      <c r="F26" s="500"/>
      <c r="G26" s="472"/>
    </row>
    <row r="27" spans="1:11" x14ac:dyDescent="0.3">
      <c r="A27" s="396" t="s">
        <v>86</v>
      </c>
      <c r="B27" s="509">
        <f>ROUND(SPSS_UNIVERSOS!Z11,0)</f>
        <v>47657</v>
      </c>
      <c r="C27" s="497">
        <f>ROUND(SPSS_UNIVERSOS!AA11,0)</f>
        <v>106563</v>
      </c>
      <c r="D27" s="497">
        <f>ROUND(SPSS_UNIVERSOS!AB11,0)</f>
        <v>143759</v>
      </c>
      <c r="E27" s="506">
        <f t="shared" si="7"/>
        <v>297979</v>
      </c>
      <c r="F27" s="501"/>
      <c r="G27" s="399"/>
    </row>
    <row r="28" spans="1:11" ht="15" thickBot="1" x14ac:dyDescent="0.35">
      <c r="A28" s="395" t="s">
        <v>85</v>
      </c>
      <c r="B28" s="510">
        <f>ROUND(SPSS_UNIVERSOS!AC11,0)</f>
        <v>55667</v>
      </c>
      <c r="C28" s="498">
        <f>ROUNDDOWN(SPSS_UNIVERSOS!AD11,0)</f>
        <v>136172</v>
      </c>
      <c r="D28" s="498">
        <f>ROUND(SPSS_UNIVERSOS!AE11,0)</f>
        <v>165481</v>
      </c>
      <c r="E28" s="507">
        <f t="shared" si="7"/>
        <v>357320</v>
      </c>
      <c r="F28" s="502"/>
      <c r="G28" s="402"/>
    </row>
    <row r="29" spans="1:11" x14ac:dyDescent="0.3">
      <c r="A29" s="503" t="s">
        <v>72</v>
      </c>
      <c r="B29" s="504">
        <f>B30+B31</f>
        <v>98180</v>
      </c>
      <c r="C29" s="504">
        <f t="shared" ref="C29:D29" si="10">C30+C31</f>
        <v>205364</v>
      </c>
      <c r="D29" s="504">
        <f t="shared" si="10"/>
        <v>201063</v>
      </c>
      <c r="E29" s="505">
        <f t="shared" si="7"/>
        <v>504607</v>
      </c>
      <c r="F29" s="500"/>
      <c r="G29" s="472"/>
    </row>
    <row r="30" spans="1:11" x14ac:dyDescent="0.3">
      <c r="A30" s="396" t="s">
        <v>78</v>
      </c>
      <c r="B30" s="497">
        <f>ROUND(SPSS_UNIVERSOS!Z12,0)</f>
        <v>46905</v>
      </c>
      <c r="C30" s="497">
        <f>ROUND(SPSS_UNIVERSOS!AA12,0)</f>
        <v>94350</v>
      </c>
      <c r="D30" s="497">
        <f>ROUND(SPSS_UNIVERSOS!AB12,0)</f>
        <v>93732</v>
      </c>
      <c r="E30" s="506">
        <f t="shared" si="7"/>
        <v>234987</v>
      </c>
      <c r="F30" s="501"/>
      <c r="G30" s="399"/>
    </row>
    <row r="31" spans="1:11" ht="15" thickBot="1" x14ac:dyDescent="0.35">
      <c r="A31" s="395" t="s">
        <v>79</v>
      </c>
      <c r="B31" s="498">
        <f>ROUND(SPSS_UNIVERSOS!AC12,0)</f>
        <v>51275</v>
      </c>
      <c r="C31" s="498">
        <f>ROUND(SPSS_UNIVERSOS!AD12,0)</f>
        <v>111014</v>
      </c>
      <c r="D31" s="498">
        <f>ROUNDDOWN(SPSS_UNIVERSOS!AE12,0)</f>
        <v>107331</v>
      </c>
      <c r="E31" s="507">
        <f t="shared" si="7"/>
        <v>269620</v>
      </c>
      <c r="F31" s="502"/>
      <c r="G31" s="402"/>
    </row>
    <row r="32" spans="1:11" x14ac:dyDescent="0.3">
      <c r="A32" s="503" t="s">
        <v>73</v>
      </c>
      <c r="B32" s="504">
        <f>B33+B34</f>
        <v>140858</v>
      </c>
      <c r="C32" s="504">
        <f t="shared" ref="C32:D32" si="11">C33+C34</f>
        <v>277726</v>
      </c>
      <c r="D32" s="504">
        <f t="shared" si="11"/>
        <v>252843</v>
      </c>
      <c r="E32" s="505">
        <f t="shared" si="7"/>
        <v>671427</v>
      </c>
      <c r="F32" s="500"/>
      <c r="G32" s="472"/>
    </row>
    <row r="33" spans="1:7" x14ac:dyDescent="0.3">
      <c r="A33" s="396" t="s">
        <v>80</v>
      </c>
      <c r="B33" s="497">
        <f>ROUND(SPSS_UNIVERSOS!Z13,0)</f>
        <v>67098</v>
      </c>
      <c r="C33" s="497">
        <f>ROUND(SPSS_UNIVERSOS!AA13,0)</f>
        <v>130105</v>
      </c>
      <c r="D33" s="497">
        <f>ROUND(SPSS_UNIVERSOS!AB13,0)</f>
        <v>117915</v>
      </c>
      <c r="E33" s="506">
        <f t="shared" si="7"/>
        <v>315118</v>
      </c>
      <c r="F33" s="501"/>
      <c r="G33" s="399"/>
    </row>
    <row r="34" spans="1:7" ht="15" thickBot="1" x14ac:dyDescent="0.35">
      <c r="A34" s="395" t="s">
        <v>81</v>
      </c>
      <c r="B34" s="498">
        <f>ROUND(SPSS_UNIVERSOS!AC13,0)</f>
        <v>73760</v>
      </c>
      <c r="C34" s="498">
        <f>ROUNDUP(SPSS_UNIVERSOS!AD13,0)</f>
        <v>147621</v>
      </c>
      <c r="D34" s="498">
        <f>ROUND(SPSS_UNIVERSOS!AE13,0)</f>
        <v>134928</v>
      </c>
      <c r="E34" s="507">
        <f t="shared" si="7"/>
        <v>356309</v>
      </c>
      <c r="F34" s="502"/>
      <c r="G34" s="402"/>
    </row>
    <row r="35" spans="1:7" ht="15" thickBot="1" x14ac:dyDescent="0.35">
      <c r="A35" s="457"/>
      <c r="B35" s="453"/>
      <c r="C35" s="454"/>
      <c r="D35" s="455"/>
      <c r="E35" s="453"/>
      <c r="F35" s="454"/>
      <c r="G35" s="456"/>
    </row>
    <row r="36" spans="1:7" x14ac:dyDescent="0.3">
      <c r="A36" s="469" t="s">
        <v>90</v>
      </c>
      <c r="B36" s="470">
        <f>B24+B27+B30+B33</f>
        <v>204339</v>
      </c>
      <c r="C36" s="470">
        <f t="shared" ref="C36" si="12">C24+C27+C30+C33</f>
        <v>429505</v>
      </c>
      <c r="D36" s="470">
        <f>D24+D27+D30+D33</f>
        <v>487486</v>
      </c>
      <c r="E36" s="470">
        <f>D36+C36+B36</f>
        <v>1121330</v>
      </c>
      <c r="F36" s="471"/>
      <c r="G36" s="472"/>
    </row>
    <row r="37" spans="1:7" ht="15" thickBot="1" x14ac:dyDescent="0.35">
      <c r="A37" s="473" t="s">
        <v>89</v>
      </c>
      <c r="B37" s="474">
        <f>B25+B28+B31+B34</f>
        <v>224824</v>
      </c>
      <c r="C37" s="474">
        <f t="shared" ref="C37" si="13">C25+C28+C31+C34</f>
        <v>502716</v>
      </c>
      <c r="D37" s="474">
        <f>D25+D28+D31+D34</f>
        <v>552958</v>
      </c>
      <c r="E37" s="470">
        <f>D37+C37+B37</f>
        <v>1280498</v>
      </c>
      <c r="F37" s="475"/>
      <c r="G37" s="476"/>
    </row>
    <row r="40" spans="1:7" x14ac:dyDescent="0.3">
      <c r="A40" s="326"/>
    </row>
    <row r="41" spans="1:7" x14ac:dyDescent="0.3">
      <c r="A41" s="326"/>
    </row>
    <row r="42" spans="1:7" x14ac:dyDescent="0.3">
      <c r="A42" s="326"/>
    </row>
    <row r="43" spans="1:7" x14ac:dyDescent="0.3">
      <c r="A43" s="326"/>
    </row>
    <row r="44" spans="1:7" x14ac:dyDescent="0.3">
      <c r="A44" s="326"/>
    </row>
    <row r="45" spans="1:7" x14ac:dyDescent="0.3">
      <c r="A45" s="326"/>
    </row>
    <row r="46" spans="1:7" x14ac:dyDescent="0.3">
      <c r="A46" s="326"/>
    </row>
    <row r="47" spans="1:7" x14ac:dyDescent="0.3">
      <c r="A47" s="326"/>
    </row>
    <row r="48" spans="1:7" x14ac:dyDescent="0.3">
      <c r="A48" s="326"/>
    </row>
    <row r="49" spans="1:1" x14ac:dyDescent="0.3">
      <c r="A49" s="326"/>
    </row>
    <row r="50" spans="1:1" x14ac:dyDescent="0.3">
      <c r="A50" s="326"/>
    </row>
    <row r="51" spans="1:1" x14ac:dyDescent="0.3">
      <c r="A51" s="326"/>
    </row>
    <row r="52" spans="1:1" x14ac:dyDescent="0.3">
      <c r="A52" s="326"/>
    </row>
    <row r="53" spans="1:1" x14ac:dyDescent="0.3">
      <c r="A53" s="326"/>
    </row>
    <row r="54" spans="1:1" x14ac:dyDescent="0.3">
      <c r="A54" s="326"/>
    </row>
    <row r="55" spans="1:1" x14ac:dyDescent="0.3">
      <c r="A55" s="326"/>
    </row>
    <row r="56" spans="1:1" x14ac:dyDescent="0.3">
      <c r="A56" s="326"/>
    </row>
    <row r="57" spans="1:1" x14ac:dyDescent="0.3">
      <c r="A57" s="326"/>
    </row>
    <row r="58" spans="1:1" x14ac:dyDescent="0.3">
      <c r="A58" s="326"/>
    </row>
    <row r="59" spans="1:1" x14ac:dyDescent="0.3">
      <c r="A59" s="326"/>
    </row>
    <row r="60" spans="1:1" x14ac:dyDescent="0.3">
      <c r="A60" s="326"/>
    </row>
    <row r="61" spans="1:1" x14ac:dyDescent="0.3">
      <c r="A61" s="326"/>
    </row>
    <row r="62" spans="1:1" x14ac:dyDescent="0.3">
      <c r="A62" s="326"/>
    </row>
    <row r="63" spans="1:1" x14ac:dyDescent="0.3">
      <c r="A63" s="326"/>
    </row>
    <row r="64" spans="1:1" x14ac:dyDescent="0.3">
      <c r="A64" s="326"/>
    </row>
    <row r="65" spans="1:1" x14ac:dyDescent="0.3">
      <c r="A65" s="326"/>
    </row>
    <row r="66" spans="1:1" x14ac:dyDescent="0.3">
      <c r="A66" s="326"/>
    </row>
    <row r="67" spans="1:1" x14ac:dyDescent="0.3">
      <c r="A67" s="326"/>
    </row>
    <row r="68" spans="1:1" x14ac:dyDescent="0.3">
      <c r="A68" s="326"/>
    </row>
    <row r="69" spans="1:1" x14ac:dyDescent="0.3">
      <c r="A69" s="326"/>
    </row>
    <row r="70" spans="1:1" x14ac:dyDescent="0.3">
      <c r="A70" s="326"/>
    </row>
    <row r="71" spans="1:1" x14ac:dyDescent="0.3">
      <c r="A71" s="326"/>
    </row>
    <row r="72" spans="1:1" x14ac:dyDescent="0.3">
      <c r="A72" s="326"/>
    </row>
    <row r="73" spans="1:1" x14ac:dyDescent="0.3">
      <c r="A73" s="326"/>
    </row>
    <row r="74" spans="1:1" x14ac:dyDescent="0.3">
      <c r="A74" s="326"/>
    </row>
    <row r="75" spans="1:1" x14ac:dyDescent="0.3">
      <c r="A75" s="326"/>
    </row>
    <row r="76" spans="1:1" x14ac:dyDescent="0.3">
      <c r="A76" s="326"/>
    </row>
    <row r="77" spans="1:1" x14ac:dyDescent="0.3">
      <c r="A77" s="326"/>
    </row>
    <row r="78" spans="1:1" x14ac:dyDescent="0.3">
      <c r="A78" s="326"/>
    </row>
    <row r="79" spans="1:1" x14ac:dyDescent="0.3">
      <c r="A79" s="326"/>
    </row>
    <row r="80" spans="1:1" x14ac:dyDescent="0.3">
      <c r="A80" s="326"/>
    </row>
    <row r="81" spans="1:1" x14ac:dyDescent="0.3">
      <c r="A81" s="326"/>
    </row>
    <row r="82" spans="1:1" x14ac:dyDescent="0.3">
      <c r="A82" s="326"/>
    </row>
    <row r="83" spans="1:1" x14ac:dyDescent="0.3">
      <c r="A83" s="326"/>
    </row>
    <row r="84" spans="1:1" x14ac:dyDescent="0.3">
      <c r="A84" s="326"/>
    </row>
    <row r="85" spans="1:1" x14ac:dyDescent="0.3">
      <c r="A85" s="326"/>
    </row>
    <row r="86" spans="1:1" x14ac:dyDescent="0.3">
      <c r="A86" s="326"/>
    </row>
  </sheetData>
  <mergeCells count="1">
    <mergeCell ref="A1:G1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00B0F0"/>
  </sheetPr>
  <dimension ref="A1:AY80"/>
  <sheetViews>
    <sheetView topLeftCell="AL16" zoomScale="110" zoomScaleNormal="110" workbookViewId="0">
      <selection activeCell="AV36" sqref="AV36"/>
    </sheetView>
  </sheetViews>
  <sheetFormatPr baseColWidth="10" defaultRowHeight="14.4" x14ac:dyDescent="0.3"/>
  <cols>
    <col min="3" max="3" width="28" customWidth="1"/>
    <col min="5" max="5" width="17.109375" bestFit="1" customWidth="1"/>
    <col min="6" max="7" width="12.88671875" bestFit="1" customWidth="1"/>
  </cols>
  <sheetData>
    <row r="1" spans="1:51" ht="15" thickBot="1" x14ac:dyDescent="0.35"/>
    <row r="2" spans="1:51" ht="15.75" customHeight="1" thickTop="1" x14ac:dyDescent="0.3">
      <c r="A2" s="1084"/>
      <c r="B2" s="1085"/>
      <c r="C2" s="1085"/>
      <c r="D2" s="1086"/>
      <c r="E2" s="1093" t="s">
        <v>41</v>
      </c>
      <c r="F2" s="1094"/>
      <c r="G2" s="1095"/>
      <c r="K2" s="1071" t="s">
        <v>140</v>
      </c>
      <c r="L2" s="1072"/>
      <c r="M2" s="1072"/>
      <c r="N2" s="1072"/>
      <c r="O2" s="1072"/>
      <c r="P2" s="1073"/>
      <c r="Q2" s="1080" t="s">
        <v>112</v>
      </c>
      <c r="R2" s="1081"/>
      <c r="S2" s="1082"/>
      <c r="V2" s="1071" t="s">
        <v>140</v>
      </c>
      <c r="W2" s="1072"/>
      <c r="X2" s="1072"/>
      <c r="Y2" s="1073"/>
      <c r="Z2" s="1080" t="s">
        <v>82</v>
      </c>
      <c r="AA2" s="1081"/>
      <c r="AB2" s="1081"/>
      <c r="AC2" s="1081"/>
      <c r="AD2" s="1081"/>
      <c r="AE2" s="1082"/>
      <c r="AF2" s="431"/>
      <c r="AG2" s="1100"/>
      <c r="AH2" s="1113"/>
      <c r="AI2" s="1113"/>
      <c r="AJ2" s="1101"/>
      <c r="AK2" s="1080" t="s">
        <v>112</v>
      </c>
      <c r="AL2" s="1081"/>
      <c r="AM2" s="1082"/>
      <c r="AO2" s="1100"/>
      <c r="AP2" s="1113"/>
      <c r="AQ2" s="1113"/>
      <c r="AR2" s="1101"/>
      <c r="AS2" s="1080" t="s">
        <v>82</v>
      </c>
      <c r="AT2" s="1081"/>
      <c r="AU2" s="1081"/>
      <c r="AV2" s="1081"/>
      <c r="AW2" s="1081"/>
      <c r="AX2" s="1082"/>
      <c r="AY2" s="431"/>
    </row>
    <row r="3" spans="1:51" x14ac:dyDescent="0.3">
      <c r="A3" s="1087"/>
      <c r="B3" s="1088"/>
      <c r="C3" s="1088"/>
      <c r="D3" s="1089"/>
      <c r="E3" s="1096" t="s">
        <v>118</v>
      </c>
      <c r="F3" s="1097"/>
      <c r="G3" s="1098"/>
      <c r="K3" s="1074"/>
      <c r="L3" s="1075"/>
      <c r="M3" s="1075"/>
      <c r="N3" s="1075"/>
      <c r="O3" s="1075"/>
      <c r="P3" s="1076"/>
      <c r="Q3" s="432" t="s">
        <v>92</v>
      </c>
      <c r="R3" s="433" t="s">
        <v>6</v>
      </c>
      <c r="S3" s="434" t="s">
        <v>93</v>
      </c>
      <c r="V3" s="1074"/>
      <c r="W3" s="1075"/>
      <c r="X3" s="1075"/>
      <c r="Y3" s="1076"/>
      <c r="Z3" s="1083" t="s">
        <v>83</v>
      </c>
      <c r="AA3" s="1066"/>
      <c r="AB3" s="1066"/>
      <c r="AC3" s="1066" t="s">
        <v>84</v>
      </c>
      <c r="AD3" s="1066"/>
      <c r="AE3" s="1067"/>
      <c r="AF3" s="431"/>
      <c r="AG3" s="1102"/>
      <c r="AH3" s="1114"/>
      <c r="AI3" s="1114"/>
      <c r="AJ3" s="1103"/>
      <c r="AK3" s="432" t="s">
        <v>92</v>
      </c>
      <c r="AL3" s="433" t="s">
        <v>6</v>
      </c>
      <c r="AM3" s="434" t="s">
        <v>93</v>
      </c>
      <c r="AO3" s="1102"/>
      <c r="AP3" s="1114"/>
      <c r="AQ3" s="1114"/>
      <c r="AR3" s="1103"/>
      <c r="AS3" s="1083" t="s">
        <v>83</v>
      </c>
      <c r="AT3" s="1066"/>
      <c r="AU3" s="1066"/>
      <c r="AV3" s="1066" t="s">
        <v>84</v>
      </c>
      <c r="AW3" s="1066"/>
      <c r="AX3" s="1067"/>
      <c r="AY3" s="431"/>
    </row>
    <row r="4" spans="1:51" ht="15.75" customHeight="1" thickBot="1" x14ac:dyDescent="0.35">
      <c r="A4" s="1087"/>
      <c r="B4" s="1088"/>
      <c r="C4" s="1088"/>
      <c r="D4" s="1089"/>
      <c r="E4" s="1099" t="s">
        <v>120</v>
      </c>
      <c r="F4" s="1097"/>
      <c r="G4" s="1098"/>
      <c r="K4" s="1077"/>
      <c r="L4" s="1078"/>
      <c r="M4" s="1078"/>
      <c r="N4" s="1078"/>
      <c r="O4" s="1078"/>
      <c r="P4" s="1079"/>
      <c r="Q4" s="435" t="s">
        <v>40</v>
      </c>
      <c r="R4" s="436" t="s">
        <v>40</v>
      </c>
      <c r="S4" s="437" t="s">
        <v>40</v>
      </c>
      <c r="V4" s="1074"/>
      <c r="W4" s="1075"/>
      <c r="X4" s="1075"/>
      <c r="Y4" s="1076"/>
      <c r="Z4" s="1083" t="s">
        <v>112</v>
      </c>
      <c r="AA4" s="1066"/>
      <c r="AB4" s="1066"/>
      <c r="AC4" s="1066" t="s">
        <v>112</v>
      </c>
      <c r="AD4" s="1066"/>
      <c r="AE4" s="1067"/>
      <c r="AF4" s="431"/>
      <c r="AG4" s="1104"/>
      <c r="AH4" s="1115"/>
      <c r="AI4" s="1115"/>
      <c r="AJ4" s="1105"/>
      <c r="AK4" s="435" t="s">
        <v>40</v>
      </c>
      <c r="AL4" s="436" t="s">
        <v>40</v>
      </c>
      <c r="AM4" s="437" t="s">
        <v>40</v>
      </c>
      <c r="AO4" s="1102"/>
      <c r="AP4" s="1114"/>
      <c r="AQ4" s="1114"/>
      <c r="AR4" s="1103"/>
      <c r="AS4" s="1083" t="s">
        <v>112</v>
      </c>
      <c r="AT4" s="1066"/>
      <c r="AU4" s="1066"/>
      <c r="AV4" s="1066" t="s">
        <v>112</v>
      </c>
      <c r="AW4" s="1066"/>
      <c r="AX4" s="1067"/>
      <c r="AY4" s="431"/>
    </row>
    <row r="5" spans="1:51" ht="15.75" customHeight="1" thickTop="1" x14ac:dyDescent="0.3">
      <c r="A5" s="1087"/>
      <c r="B5" s="1088"/>
      <c r="C5" s="1088"/>
      <c r="D5" s="1089"/>
      <c r="E5" s="413" t="s">
        <v>92</v>
      </c>
      <c r="F5" s="414" t="s">
        <v>6</v>
      </c>
      <c r="G5" s="415" t="s">
        <v>93</v>
      </c>
      <c r="K5" s="1068" t="s">
        <v>131</v>
      </c>
      <c r="L5" s="1063" t="s">
        <v>121</v>
      </c>
      <c r="M5" s="1063" t="s">
        <v>130</v>
      </c>
      <c r="N5" s="1063" t="s">
        <v>43</v>
      </c>
      <c r="O5" s="1063" t="s">
        <v>124</v>
      </c>
      <c r="P5" s="438"/>
      <c r="Q5" s="439"/>
      <c r="R5" s="440"/>
      <c r="S5" s="441"/>
      <c r="V5" s="1074"/>
      <c r="W5" s="1075"/>
      <c r="X5" s="1075"/>
      <c r="Y5" s="1076"/>
      <c r="Z5" s="432" t="s">
        <v>92</v>
      </c>
      <c r="AA5" s="433" t="s">
        <v>6</v>
      </c>
      <c r="AB5" s="433" t="s">
        <v>93</v>
      </c>
      <c r="AC5" s="433" t="s">
        <v>92</v>
      </c>
      <c r="AD5" s="433" t="s">
        <v>6</v>
      </c>
      <c r="AE5" s="434" t="s">
        <v>93</v>
      </c>
      <c r="AF5" s="431"/>
      <c r="AG5" s="1068" t="s">
        <v>105</v>
      </c>
      <c r="AH5" s="1127" t="s">
        <v>106</v>
      </c>
      <c r="AI5" s="1063" t="s">
        <v>124</v>
      </c>
      <c r="AJ5" s="438"/>
      <c r="AK5" s="439"/>
      <c r="AL5" s="440"/>
      <c r="AM5" s="441"/>
      <c r="AO5" s="1102"/>
      <c r="AP5" s="1114"/>
      <c r="AQ5" s="1114"/>
      <c r="AR5" s="1103"/>
      <c r="AS5" s="432" t="s">
        <v>92</v>
      </c>
      <c r="AT5" s="433" t="s">
        <v>6</v>
      </c>
      <c r="AU5" s="433" t="s">
        <v>93</v>
      </c>
      <c r="AV5" s="433" t="s">
        <v>92</v>
      </c>
      <c r="AW5" s="433" t="s">
        <v>6</v>
      </c>
      <c r="AX5" s="434" t="s">
        <v>93</v>
      </c>
      <c r="AY5" s="431"/>
    </row>
    <row r="6" spans="1:51" ht="15" thickBot="1" x14ac:dyDescent="0.35">
      <c r="A6" s="1090"/>
      <c r="B6" s="1091"/>
      <c r="C6" s="1091"/>
      <c r="D6" s="1092"/>
      <c r="E6" s="416" t="s">
        <v>40</v>
      </c>
      <c r="F6" s="417" t="s">
        <v>40</v>
      </c>
      <c r="G6" s="418" t="s">
        <v>40</v>
      </c>
      <c r="K6" s="1069"/>
      <c r="L6" s="1064"/>
      <c r="M6" s="1064"/>
      <c r="N6" s="1064"/>
      <c r="O6" s="1064"/>
      <c r="P6" s="442" t="s">
        <v>123</v>
      </c>
      <c r="Q6" s="443">
        <v>12005.555233779971</v>
      </c>
      <c r="R6" s="444">
        <v>81016.026070994863</v>
      </c>
      <c r="S6" s="445">
        <v>204169.91911729838</v>
      </c>
      <c r="V6" s="1077"/>
      <c r="W6" s="1078"/>
      <c r="X6" s="1078"/>
      <c r="Y6" s="1079"/>
      <c r="Z6" s="435" t="s">
        <v>40</v>
      </c>
      <c r="AA6" s="436" t="s">
        <v>40</v>
      </c>
      <c r="AB6" s="436" t="s">
        <v>40</v>
      </c>
      <c r="AC6" s="436" t="s">
        <v>40</v>
      </c>
      <c r="AD6" s="436" t="s">
        <v>40</v>
      </c>
      <c r="AE6" s="437" t="s">
        <v>40</v>
      </c>
      <c r="AF6" s="431"/>
      <c r="AG6" s="1069"/>
      <c r="AH6" s="1064"/>
      <c r="AI6" s="1064"/>
      <c r="AJ6" s="442" t="s">
        <v>123</v>
      </c>
      <c r="AK6" s="571">
        <v>31516.898344992696</v>
      </c>
      <c r="AL6" s="572">
        <v>95788.125568778109</v>
      </c>
      <c r="AM6" s="573">
        <v>139175.18818155365</v>
      </c>
      <c r="AO6" s="1104"/>
      <c r="AP6" s="1115"/>
      <c r="AQ6" s="1115"/>
      <c r="AR6" s="1105"/>
      <c r="AS6" s="435" t="s">
        <v>40</v>
      </c>
      <c r="AT6" s="436" t="s">
        <v>40</v>
      </c>
      <c r="AU6" s="436" t="s">
        <v>40</v>
      </c>
      <c r="AV6" s="436" t="s">
        <v>40</v>
      </c>
      <c r="AW6" s="436" t="s">
        <v>40</v>
      </c>
      <c r="AX6" s="437" t="s">
        <v>40</v>
      </c>
      <c r="AY6" s="431"/>
    </row>
    <row r="7" spans="1:51" ht="15" thickTop="1" x14ac:dyDescent="0.3">
      <c r="A7" s="1107" t="s">
        <v>131</v>
      </c>
      <c r="B7" s="1110" t="s">
        <v>121</v>
      </c>
      <c r="C7" s="1110" t="s">
        <v>49</v>
      </c>
      <c r="D7" s="419" t="s">
        <v>118</v>
      </c>
      <c r="E7" s="420">
        <v>118146.38905391299</v>
      </c>
      <c r="F7" s="421">
        <v>158211.20339492761</v>
      </c>
      <c r="G7" s="422">
        <v>69731.164225029337</v>
      </c>
      <c r="H7" s="44"/>
      <c r="K7" s="1069"/>
      <c r="L7" s="1064"/>
      <c r="M7" s="1064"/>
      <c r="N7" s="1064"/>
      <c r="O7" s="1064"/>
      <c r="P7" s="442" t="s">
        <v>125</v>
      </c>
      <c r="Q7" s="443">
        <v>11348.807810080405</v>
      </c>
      <c r="R7" s="444">
        <v>82216.159209707563</v>
      </c>
      <c r="S7" s="445">
        <v>151079.91544067871</v>
      </c>
      <c r="V7" s="1068" t="s">
        <v>131</v>
      </c>
      <c r="W7" s="1063" t="s">
        <v>121</v>
      </c>
      <c r="X7" s="1063" t="s">
        <v>124</v>
      </c>
      <c r="Y7" s="438"/>
      <c r="Z7" s="439"/>
      <c r="AA7" s="440"/>
      <c r="AB7" s="440"/>
      <c r="AC7" s="440"/>
      <c r="AD7" s="440"/>
      <c r="AE7" s="441"/>
      <c r="AF7" s="431"/>
      <c r="AG7" s="1069"/>
      <c r="AH7" s="1064"/>
      <c r="AI7" s="1064"/>
      <c r="AJ7" s="442" t="s">
        <v>125</v>
      </c>
      <c r="AK7" s="571">
        <v>30964.861246560144</v>
      </c>
      <c r="AL7" s="572">
        <v>75962.093342626846</v>
      </c>
      <c r="AM7" s="573">
        <v>97581.335059692559</v>
      </c>
      <c r="AO7" s="1068" t="s">
        <v>105</v>
      </c>
      <c r="AP7" s="1127" t="s">
        <v>118</v>
      </c>
      <c r="AQ7" s="1063" t="s">
        <v>124</v>
      </c>
      <c r="AR7" s="438"/>
      <c r="AS7" s="439"/>
      <c r="AT7" s="440"/>
      <c r="AU7" s="440"/>
      <c r="AV7" s="440"/>
      <c r="AW7" s="440"/>
      <c r="AX7" s="441"/>
      <c r="AY7" s="431"/>
    </row>
    <row r="8" spans="1:51" x14ac:dyDescent="0.3">
      <c r="A8" s="1108"/>
      <c r="B8" s="1111"/>
      <c r="C8" s="1111"/>
      <c r="D8" s="423" t="s">
        <v>119</v>
      </c>
      <c r="E8" s="424">
        <v>26832.297240512544</v>
      </c>
      <c r="F8" s="425">
        <v>161128.26719633382</v>
      </c>
      <c r="G8" s="426">
        <v>330062.59764247091</v>
      </c>
      <c r="K8" s="1069"/>
      <c r="L8" s="1064"/>
      <c r="M8" s="1064"/>
      <c r="N8" s="1064"/>
      <c r="O8" s="1064"/>
      <c r="P8" s="442" t="s">
        <v>126</v>
      </c>
      <c r="Q8" s="443">
        <v>19479.635596877277</v>
      </c>
      <c r="R8" s="444">
        <v>111816.66233726856</v>
      </c>
      <c r="S8" s="445">
        <v>229207.70063437763</v>
      </c>
      <c r="V8" s="1069"/>
      <c r="W8" s="1064"/>
      <c r="X8" s="1064"/>
      <c r="Y8" s="442" t="s">
        <v>123</v>
      </c>
      <c r="Z8" s="443">
        <v>28901.192962052006</v>
      </c>
      <c r="AA8" s="444">
        <v>89233.642403430451</v>
      </c>
      <c r="AB8" s="444">
        <v>129893.09974636747</v>
      </c>
      <c r="AC8" s="444">
        <v>33030.323824315514</v>
      </c>
      <c r="AD8" s="444">
        <v>84054.841215805573</v>
      </c>
      <c r="AE8" s="445">
        <v>117359.41428079213</v>
      </c>
      <c r="AF8" s="431"/>
      <c r="AG8" s="1069"/>
      <c r="AH8" s="1064"/>
      <c r="AI8" s="1064"/>
      <c r="AJ8" s="442" t="s">
        <v>126</v>
      </c>
      <c r="AK8" s="571">
        <v>47337.866446934837</v>
      </c>
      <c r="AL8" s="572">
        <v>109657.13843115859</v>
      </c>
      <c r="AM8" s="573">
        <v>145308.17439558919</v>
      </c>
      <c r="AO8" s="1069"/>
      <c r="AP8" s="1064"/>
      <c r="AQ8" s="1064"/>
      <c r="AR8" s="442" t="s">
        <v>123</v>
      </c>
      <c r="AS8" s="443">
        <v>13900.724518346253</v>
      </c>
      <c r="AT8" s="444">
        <v>52555.482839887263</v>
      </c>
      <c r="AU8" s="444">
        <v>72473.595917057712</v>
      </c>
      <c r="AV8" s="444">
        <v>17616.173826646434</v>
      </c>
      <c r="AW8" s="444">
        <v>43232.642728890256</v>
      </c>
      <c r="AX8" s="445">
        <v>66701.592264496372</v>
      </c>
      <c r="AY8" s="431"/>
    </row>
    <row r="9" spans="1:51" x14ac:dyDescent="0.3">
      <c r="A9" s="1108"/>
      <c r="B9" s="1111" t="s">
        <v>115</v>
      </c>
      <c r="C9" s="1111" t="s">
        <v>49</v>
      </c>
      <c r="D9" s="423" t="s">
        <v>118</v>
      </c>
      <c r="E9" s="424">
        <v>553077.66697166092</v>
      </c>
      <c r="F9" s="425">
        <v>777799.16865556571</v>
      </c>
      <c r="G9" s="426">
        <v>507603.93238150072</v>
      </c>
      <c r="K9" s="1069"/>
      <c r="L9" s="1064"/>
      <c r="M9" s="1064"/>
      <c r="N9" s="1064"/>
      <c r="O9" s="1064"/>
      <c r="P9" s="442" t="s">
        <v>127</v>
      </c>
      <c r="Q9" s="443">
        <v>19315.560760465098</v>
      </c>
      <c r="R9" s="444">
        <v>116768.38335795001</v>
      </c>
      <c r="S9" s="445">
        <v>254018.09609476943</v>
      </c>
      <c r="V9" s="1069"/>
      <c r="W9" s="1064"/>
      <c r="X9" s="1064"/>
      <c r="Y9" s="442" t="s">
        <v>125</v>
      </c>
      <c r="Z9" s="443">
        <v>35280.804833502196</v>
      </c>
      <c r="AA9" s="444">
        <v>76392.133573855739</v>
      </c>
      <c r="AB9" s="444">
        <v>90126.102519730819</v>
      </c>
      <c r="AC9" s="444">
        <v>25825.190609325804</v>
      </c>
      <c r="AD9" s="444">
        <v>68386.68154895163</v>
      </c>
      <c r="AE9" s="445">
        <v>92083.910567250641</v>
      </c>
      <c r="AF9" s="431"/>
      <c r="AG9" s="1069"/>
      <c r="AH9" s="1064"/>
      <c r="AI9" s="1064"/>
      <c r="AJ9" s="442" t="s">
        <v>127</v>
      </c>
      <c r="AK9" s="571">
        <v>52433.386938860764</v>
      </c>
      <c r="AL9" s="572">
        <f>ROUNDDOWN(121226.47901786,0)</f>
        <v>121226</v>
      </c>
      <c r="AM9" s="573">
        <v>167529.90862127036</v>
      </c>
      <c r="AO9" s="1069"/>
      <c r="AP9" s="1064"/>
      <c r="AQ9" s="1064"/>
      <c r="AR9" s="442" t="s">
        <v>125</v>
      </c>
      <c r="AS9" s="443">
        <v>19269.23280701954</v>
      </c>
      <c r="AT9" s="444">
        <v>41428.953805579105</v>
      </c>
      <c r="AU9" s="444">
        <v>53149.393313362889</v>
      </c>
      <c r="AV9" s="444">
        <v>11695.628439540616</v>
      </c>
      <c r="AW9" s="444">
        <v>34533.13953704758</v>
      </c>
      <c r="AX9" s="445">
        <v>44431.941746329961</v>
      </c>
      <c r="AY9" s="431"/>
    </row>
    <row r="10" spans="1:51" ht="15" thickBot="1" x14ac:dyDescent="0.35">
      <c r="A10" s="1109"/>
      <c r="B10" s="1112"/>
      <c r="C10" s="1112"/>
      <c r="D10" s="427" t="s">
        <v>119</v>
      </c>
      <c r="E10" s="428">
        <v>45412.582826463746</v>
      </c>
      <c r="F10" s="429">
        <v>186840.73421572807</v>
      </c>
      <c r="G10" s="430">
        <v>444603.96976883832</v>
      </c>
      <c r="K10" s="1069"/>
      <c r="L10" s="1064"/>
      <c r="M10" s="1064"/>
      <c r="N10" s="1064"/>
      <c r="O10" s="1064"/>
      <c r="P10" s="442" t="s">
        <v>128</v>
      </c>
      <c r="Q10" s="443">
        <v>15327.783090931389</v>
      </c>
      <c r="R10" s="444">
        <v>104979.420839992</v>
      </c>
      <c r="S10" s="445">
        <v>158505.3660009061</v>
      </c>
      <c r="V10" s="1069"/>
      <c r="W10" s="1064"/>
      <c r="X10" s="1064"/>
      <c r="Y10" s="442" t="s">
        <v>126</v>
      </c>
      <c r="Z10" s="443">
        <v>42679.294583686496</v>
      </c>
      <c r="AA10" s="444">
        <v>98487.34217455679</v>
      </c>
      <c r="AB10" s="444">
        <v>132079.85706168014</v>
      </c>
      <c r="AC10" s="444">
        <v>44122.077067485021</v>
      </c>
      <c r="AD10" s="444">
        <v>107909.25046013456</v>
      </c>
      <c r="AE10" s="445">
        <v>145217.66400369332</v>
      </c>
      <c r="AF10" s="431"/>
      <c r="AG10" s="1069"/>
      <c r="AH10" s="1064"/>
      <c r="AI10" s="1064"/>
      <c r="AJ10" s="442" t="s">
        <v>128</v>
      </c>
      <c r="AK10" s="571">
        <v>49203.694875992231</v>
      </c>
      <c r="AL10" s="572">
        <v>107623.21315754605</v>
      </c>
      <c r="AM10" s="573">
        <v>102410.61751357628</v>
      </c>
      <c r="AO10" s="1069"/>
      <c r="AP10" s="1064"/>
      <c r="AQ10" s="1064"/>
      <c r="AR10" s="442" t="s">
        <v>126</v>
      </c>
      <c r="AS10" s="443">
        <v>24897.646205309538</v>
      </c>
      <c r="AT10" s="444">
        <v>50947.056003987367</v>
      </c>
      <c r="AU10" s="444">
        <v>67755.235949164431</v>
      </c>
      <c r="AV10" s="444">
        <v>22440.220241625233</v>
      </c>
      <c r="AW10" s="444">
        <v>58710.082427171365</v>
      </c>
      <c r="AX10" s="445">
        <v>77552.938446425163</v>
      </c>
      <c r="AY10" s="431"/>
    </row>
    <row r="11" spans="1:51" ht="15.6" thickTop="1" thickBot="1" x14ac:dyDescent="0.35">
      <c r="K11" s="1069"/>
      <c r="L11" s="1064"/>
      <c r="M11" s="1064"/>
      <c r="N11" s="1064"/>
      <c r="O11" s="1064"/>
      <c r="P11" s="442" t="s">
        <v>129</v>
      </c>
      <c r="Q11" s="443">
        <v>25660.742877243356</v>
      </c>
      <c r="R11" s="444">
        <v>130052.64817800972</v>
      </c>
      <c r="S11" s="445">
        <v>207427.56216261329</v>
      </c>
      <c r="V11" s="1069"/>
      <c r="W11" s="1064"/>
      <c r="X11" s="1064"/>
      <c r="Y11" s="442" t="s">
        <v>127</v>
      </c>
      <c r="Z11" s="443">
        <v>47656.667957127291</v>
      </c>
      <c r="AA11" s="444">
        <v>106563.35915910687</v>
      </c>
      <c r="AB11" s="444">
        <v>143758.92784236153</v>
      </c>
      <c r="AC11" s="444">
        <v>55667.266591750435</v>
      </c>
      <c r="AD11" s="444">
        <v>136172.68722989681</v>
      </c>
      <c r="AE11" s="445">
        <v>165480.85385928486</v>
      </c>
      <c r="AF11" s="431"/>
      <c r="AG11" s="1069"/>
      <c r="AH11" s="1064"/>
      <c r="AI11" s="1064"/>
      <c r="AJ11" s="442" t="s">
        <v>129</v>
      </c>
      <c r="AK11" s="571">
        <v>71139.976930729943</v>
      </c>
      <c r="AL11" s="572">
        <v>143398.47734422691</v>
      </c>
      <c r="AM11" s="573">
        <v>136292.68305581564</v>
      </c>
      <c r="AO11" s="1069"/>
      <c r="AP11" s="1064"/>
      <c r="AQ11" s="1064"/>
      <c r="AR11" s="442" t="s">
        <v>127</v>
      </c>
      <c r="AS11" s="443">
        <v>23261.843287880842</v>
      </c>
      <c r="AT11" s="444">
        <v>53640.151632655521</v>
      </c>
      <c r="AU11" s="444">
        <v>74043.703311528952</v>
      </c>
      <c r="AV11" s="444">
        <v>29171.543650979875</v>
      </c>
      <c r="AW11" s="444">
        <v>67586.327385204801</v>
      </c>
      <c r="AX11" s="445">
        <v>93486.205309741781</v>
      </c>
      <c r="AY11" s="431"/>
    </row>
    <row r="12" spans="1:51" ht="15" thickTop="1" x14ac:dyDescent="0.3">
      <c r="A12" s="1100"/>
      <c r="B12" s="1113"/>
      <c r="C12" s="1113"/>
      <c r="D12" s="1101"/>
      <c r="E12" s="1080" t="s">
        <v>112</v>
      </c>
      <c r="F12" s="1081"/>
      <c r="G12" s="1082"/>
      <c r="K12" s="1069"/>
      <c r="L12" s="1064"/>
      <c r="M12" s="1064"/>
      <c r="N12" s="1064" t="s">
        <v>42</v>
      </c>
      <c r="O12" s="1064" t="s">
        <v>124</v>
      </c>
      <c r="P12" s="442"/>
      <c r="Q12" s="443"/>
      <c r="R12" s="444"/>
      <c r="S12" s="445"/>
      <c r="V12" s="1069"/>
      <c r="W12" s="1064"/>
      <c r="X12" s="1064"/>
      <c r="Y12" s="442" t="s">
        <v>128</v>
      </c>
      <c r="Z12" s="443">
        <v>46904.706217489591</v>
      </c>
      <c r="AA12" s="444">
        <v>94349.851055323583</v>
      </c>
      <c r="AB12" s="444">
        <v>93731.926134649664</v>
      </c>
      <c r="AC12" s="444">
        <v>51274.66632746363</v>
      </c>
      <c r="AD12" s="444">
        <v>111013.83124474336</v>
      </c>
      <c r="AE12" s="445">
        <v>107331.53216137576</v>
      </c>
      <c r="AF12" s="431"/>
      <c r="AG12" s="1069"/>
      <c r="AH12" s="1128" t="s">
        <v>107</v>
      </c>
      <c r="AI12" s="1064" t="s">
        <v>124</v>
      </c>
      <c r="AJ12" s="442"/>
      <c r="AK12" s="443"/>
      <c r="AL12" s="444"/>
      <c r="AM12" s="445"/>
      <c r="AO12" s="1069"/>
      <c r="AP12" s="1064"/>
      <c r="AQ12" s="1064"/>
      <c r="AR12" s="442" t="s">
        <v>128</v>
      </c>
      <c r="AS12" s="443">
        <v>22933.106364532985</v>
      </c>
      <c r="AT12" s="444">
        <v>47671.957005613323</v>
      </c>
      <c r="AU12" s="444">
        <v>48790.396397759076</v>
      </c>
      <c r="AV12" s="444">
        <v>26270.588511459231</v>
      </c>
      <c r="AW12" s="444">
        <v>59951.256151932954</v>
      </c>
      <c r="AX12" s="445">
        <v>53620.221115817607</v>
      </c>
      <c r="AY12" s="431"/>
    </row>
    <row r="13" spans="1:51" x14ac:dyDescent="0.3">
      <c r="A13" s="1102"/>
      <c r="B13" s="1114"/>
      <c r="C13" s="1114"/>
      <c r="D13" s="1103"/>
      <c r="E13" s="432" t="s">
        <v>92</v>
      </c>
      <c r="F13" s="433" t="s">
        <v>6</v>
      </c>
      <c r="G13" s="434" t="s">
        <v>93</v>
      </c>
      <c r="K13" s="1069"/>
      <c r="L13" s="1064"/>
      <c r="M13" s="1064"/>
      <c r="N13" s="1064"/>
      <c r="O13" s="1064"/>
      <c r="P13" s="442" t="s">
        <v>123</v>
      </c>
      <c r="Q13" s="443">
        <v>49925.961552587549</v>
      </c>
      <c r="R13" s="444">
        <v>92272.457548241116</v>
      </c>
      <c r="S13" s="445">
        <v>43082.594909860622</v>
      </c>
      <c r="V13" s="1069"/>
      <c r="W13" s="1064"/>
      <c r="X13" s="1064"/>
      <c r="Y13" s="442" t="s">
        <v>129</v>
      </c>
      <c r="Z13" s="443">
        <v>67098.431611907145</v>
      </c>
      <c r="AA13" s="444">
        <v>130105.06711217923</v>
      </c>
      <c r="AB13" s="444">
        <v>117914.77772630437</v>
      </c>
      <c r="AC13" s="444">
        <v>73759.891102154012</v>
      </c>
      <c r="AD13" s="444">
        <v>147620.36282848343</v>
      </c>
      <c r="AE13" s="445">
        <v>134928.05070265222</v>
      </c>
      <c r="AF13" s="431"/>
      <c r="AG13" s="1069"/>
      <c r="AH13" s="1064"/>
      <c r="AI13" s="1064"/>
      <c r="AJ13" s="442" t="s">
        <v>123</v>
      </c>
      <c r="AK13" s="443">
        <v>30414.618441374823</v>
      </c>
      <c r="AL13" s="444">
        <v>77500.358050458337</v>
      </c>
      <c r="AM13" s="445">
        <v>108077.32584560529</v>
      </c>
      <c r="AO13" s="1069"/>
      <c r="AP13" s="1064"/>
      <c r="AQ13" s="1064"/>
      <c r="AR13" s="442" t="s">
        <v>129</v>
      </c>
      <c r="AS13" s="443">
        <v>33056.88884000729</v>
      </c>
      <c r="AT13" s="444">
        <v>67301.299358681325</v>
      </c>
      <c r="AU13" s="444">
        <v>62058.657859214749</v>
      </c>
      <c r="AV13" s="444">
        <v>38083.088090722646</v>
      </c>
      <c r="AW13" s="444">
        <v>76097.177985545626</v>
      </c>
      <c r="AX13" s="445">
        <v>74234.025196601084</v>
      </c>
      <c r="AY13" s="431"/>
    </row>
    <row r="14" spans="1:51" ht="15" thickBot="1" x14ac:dyDescent="0.35">
      <c r="A14" s="1104"/>
      <c r="B14" s="1115"/>
      <c r="C14" s="1115"/>
      <c r="D14" s="1105"/>
      <c r="E14" s="435" t="s">
        <v>40</v>
      </c>
      <c r="F14" s="436" t="s">
        <v>40</v>
      </c>
      <c r="G14" s="437" t="s">
        <v>40</v>
      </c>
      <c r="K14" s="1069"/>
      <c r="L14" s="1064"/>
      <c r="M14" s="1064"/>
      <c r="N14" s="1064"/>
      <c r="O14" s="1064"/>
      <c r="P14" s="442" t="s">
        <v>125</v>
      </c>
      <c r="Q14" s="443">
        <v>49757.187632747584</v>
      </c>
      <c r="R14" s="444">
        <v>62562.655913099821</v>
      </c>
      <c r="S14" s="445">
        <v>31130.097646302842</v>
      </c>
      <c r="V14" s="1069"/>
      <c r="W14" s="1064" t="s">
        <v>115</v>
      </c>
      <c r="X14" s="1064" t="s">
        <v>124</v>
      </c>
      <c r="Y14" s="442"/>
      <c r="Z14" s="443"/>
      <c r="AA14" s="444"/>
      <c r="AB14" s="444"/>
      <c r="AC14" s="444"/>
      <c r="AD14" s="444"/>
      <c r="AE14" s="445"/>
      <c r="AF14" s="431"/>
      <c r="AG14" s="1069"/>
      <c r="AH14" s="1064"/>
      <c r="AI14" s="1064"/>
      <c r="AJ14" s="442" t="s">
        <v>125</v>
      </c>
      <c r="AK14" s="443">
        <v>30141.134196267823</v>
      </c>
      <c r="AL14" s="444">
        <v>68816.721780180684</v>
      </c>
      <c r="AM14" s="445">
        <v>84628.678027288668</v>
      </c>
      <c r="AO14" s="1069"/>
      <c r="AP14" s="1128" t="s">
        <v>119</v>
      </c>
      <c r="AQ14" s="1064" t="s">
        <v>124</v>
      </c>
      <c r="AR14" s="442"/>
      <c r="AS14" s="443"/>
      <c r="AT14" s="444"/>
      <c r="AU14" s="444"/>
      <c r="AV14" s="444"/>
      <c r="AW14" s="444"/>
      <c r="AX14" s="445"/>
      <c r="AY14" s="431"/>
    </row>
    <row r="15" spans="1:51" ht="15" thickTop="1" x14ac:dyDescent="0.3">
      <c r="A15" s="1068" t="s">
        <v>131</v>
      </c>
      <c r="B15" s="1063" t="s">
        <v>121</v>
      </c>
      <c r="C15" s="1063" t="s">
        <v>135</v>
      </c>
      <c r="D15" s="438" t="s">
        <v>136</v>
      </c>
      <c r="E15" s="439">
        <v>431246.29500203184</v>
      </c>
      <c r="F15" s="440">
        <v>978437.63577300264</v>
      </c>
      <c r="G15" s="441">
        <v>1139753.8679925264</v>
      </c>
      <c r="K15" s="1069"/>
      <c r="L15" s="1064"/>
      <c r="M15" s="1064"/>
      <c r="N15" s="1064"/>
      <c r="O15" s="1064"/>
      <c r="P15" s="442" t="s">
        <v>126</v>
      </c>
      <c r="Q15" s="443">
        <v>67321.736054294262</v>
      </c>
      <c r="R15" s="444">
        <v>94579.930297422805</v>
      </c>
      <c r="S15" s="445">
        <v>48089.820430997177</v>
      </c>
      <c r="V15" s="1069"/>
      <c r="W15" s="1064"/>
      <c r="X15" s="1064"/>
      <c r="Y15" s="442" t="s">
        <v>123</v>
      </c>
      <c r="Z15" s="443">
        <v>117272.78789583223</v>
      </c>
      <c r="AA15" s="444">
        <v>257094.73419934433</v>
      </c>
      <c r="AB15" s="444">
        <v>297606.68933608936</v>
      </c>
      <c r="AC15" s="444">
        <v>118440.38330623461</v>
      </c>
      <c r="AD15" s="444">
        <v>259734.07159014145</v>
      </c>
      <c r="AE15" s="445">
        <v>300760.1570922712</v>
      </c>
      <c r="AF15" s="431"/>
      <c r="AG15" s="1069"/>
      <c r="AH15" s="1064"/>
      <c r="AI15" s="1064"/>
      <c r="AJ15" s="442" t="s">
        <v>126</v>
      </c>
      <c r="AK15" s="443">
        <v>39463.505204236732</v>
      </c>
      <c r="AL15" s="444">
        <v>96739.454203533256</v>
      </c>
      <c r="AM15" s="445">
        <v>131989.34666978483</v>
      </c>
      <c r="AO15" s="1069"/>
      <c r="AP15" s="1064"/>
      <c r="AQ15" s="1064"/>
      <c r="AR15" s="442" t="s">
        <v>123</v>
      </c>
      <c r="AS15" s="443">
        <v>15000.468443705753</v>
      </c>
      <c r="AT15" s="444">
        <v>36678.159563542824</v>
      </c>
      <c r="AU15" s="444">
        <v>57419.503829309455</v>
      </c>
      <c r="AV15" s="444">
        <v>15414.14999766905</v>
      </c>
      <c r="AW15" s="444">
        <v>40822.198486915688</v>
      </c>
      <c r="AX15" s="445">
        <v>50657.822016296028</v>
      </c>
      <c r="AY15" s="431"/>
    </row>
    <row r="16" spans="1:51" x14ac:dyDescent="0.3">
      <c r="A16" s="1069"/>
      <c r="B16" s="1064"/>
      <c r="C16" s="1064"/>
      <c r="D16" s="442" t="s">
        <v>118</v>
      </c>
      <c r="E16" s="443">
        <v>141793.87727439345</v>
      </c>
      <c r="F16" s="444">
        <v>316162.60611203627</v>
      </c>
      <c r="G16" s="445">
        <v>406155.435366755</v>
      </c>
      <c r="K16" s="1069"/>
      <c r="L16" s="1064"/>
      <c r="M16" s="1064"/>
      <c r="N16" s="1064"/>
      <c r="O16" s="1064"/>
      <c r="P16" s="442" t="s">
        <v>127</v>
      </c>
      <c r="Q16" s="443">
        <v>84008.373788412689</v>
      </c>
      <c r="R16" s="444">
        <v>125967.6630310538</v>
      </c>
      <c r="S16" s="445">
        <v>55221.685606877407</v>
      </c>
      <c r="V16" s="1069"/>
      <c r="W16" s="1064"/>
      <c r="X16" s="1064"/>
      <c r="Y16" s="442" t="s">
        <v>125</v>
      </c>
      <c r="Z16" s="443">
        <v>100337.10905078072</v>
      </c>
      <c r="AA16" s="444">
        <v>215726.27939330388</v>
      </c>
      <c r="AB16" s="444">
        <v>209863.76376025419</v>
      </c>
      <c r="AC16" s="444">
        <v>89522.089094091469</v>
      </c>
      <c r="AD16" s="444">
        <v>219534.77651732095</v>
      </c>
      <c r="AE16" s="445">
        <v>201326.08084637905</v>
      </c>
      <c r="AF16" s="431"/>
      <c r="AG16" s="1069"/>
      <c r="AH16" s="1064"/>
      <c r="AI16" s="1064"/>
      <c r="AJ16" s="442" t="s">
        <v>127</v>
      </c>
      <c r="AK16" s="443">
        <v>50890.547610016954</v>
      </c>
      <c r="AL16" s="444">
        <v>121509.56737114345</v>
      </c>
      <c r="AM16" s="445">
        <v>141709.87308037633</v>
      </c>
      <c r="AO16" s="1069"/>
      <c r="AP16" s="1064"/>
      <c r="AQ16" s="1064"/>
      <c r="AR16" s="442" t="s">
        <v>125</v>
      </c>
      <c r="AS16" s="443">
        <v>16011.572026482638</v>
      </c>
      <c r="AT16" s="444">
        <v>34963.179768276605</v>
      </c>
      <c r="AU16" s="444">
        <v>36976.709206367988</v>
      </c>
      <c r="AV16" s="444">
        <v>14129.562169785177</v>
      </c>
      <c r="AW16" s="444">
        <v>33853.542011904137</v>
      </c>
      <c r="AX16" s="445">
        <v>47651.968820920913</v>
      </c>
      <c r="AY16" s="431"/>
    </row>
    <row r="17" spans="1:51" x14ac:dyDescent="0.3">
      <c r="A17" s="1069"/>
      <c r="B17" s="1064"/>
      <c r="C17" s="1064" t="s">
        <v>137</v>
      </c>
      <c r="D17" s="442" t="s">
        <v>136</v>
      </c>
      <c r="E17" s="443">
        <v>431523.47752408229</v>
      </c>
      <c r="F17" s="444">
        <v>978469.73988312681</v>
      </c>
      <c r="G17" s="445">
        <v>1139444.5813603275</v>
      </c>
      <c r="K17" s="1069"/>
      <c r="L17" s="1064"/>
      <c r="M17" s="1064"/>
      <c r="N17" s="1064"/>
      <c r="O17" s="1064"/>
      <c r="P17" s="442" t="s">
        <v>128</v>
      </c>
      <c r="Q17" s="443">
        <v>82851.589454021843</v>
      </c>
      <c r="R17" s="444">
        <v>100384.26146007507</v>
      </c>
      <c r="S17" s="445">
        <v>42558.092295118942</v>
      </c>
      <c r="V17" s="1069"/>
      <c r="W17" s="1064"/>
      <c r="X17" s="1064"/>
      <c r="Y17" s="442" t="s">
        <v>126</v>
      </c>
      <c r="Z17" s="443">
        <v>148325.20186508339</v>
      </c>
      <c r="AA17" s="444">
        <v>305069.39523952757</v>
      </c>
      <c r="AB17" s="444">
        <v>292819.82288879919</v>
      </c>
      <c r="AC17" s="444">
        <v>135163.12406934268</v>
      </c>
      <c r="AD17" s="444">
        <v>296895.93590827932</v>
      </c>
      <c r="AE17" s="445">
        <v>309462.06154363853</v>
      </c>
      <c r="AF17" s="431"/>
      <c r="AG17" s="1069"/>
      <c r="AH17" s="1064"/>
      <c r="AI17" s="1064"/>
      <c r="AJ17" s="442" t="s">
        <v>128</v>
      </c>
      <c r="AK17" s="443">
        <v>48975.677668960954</v>
      </c>
      <c r="AL17" s="444">
        <v>97740.469142520567</v>
      </c>
      <c r="AM17" s="445">
        <v>98652.840782448679</v>
      </c>
      <c r="AO17" s="1069"/>
      <c r="AP17" s="1064"/>
      <c r="AQ17" s="1064"/>
      <c r="AR17" s="442" t="s">
        <v>126</v>
      </c>
      <c r="AS17" s="443">
        <v>17781.6483783769</v>
      </c>
      <c r="AT17" s="444">
        <v>47540.286170569954</v>
      </c>
      <c r="AU17" s="444">
        <v>64324.621112516681</v>
      </c>
      <c r="AV17" s="444">
        <v>21681.856825859817</v>
      </c>
      <c r="AW17" s="444">
        <v>49199.168032963615</v>
      </c>
      <c r="AX17" s="445">
        <v>67664.725557268772</v>
      </c>
      <c r="AY17" s="431"/>
    </row>
    <row r="18" spans="1:51" ht="15" customHeight="1" thickBot="1" x14ac:dyDescent="0.35">
      <c r="A18" s="1069"/>
      <c r="B18" s="1064"/>
      <c r="C18" s="1064"/>
      <c r="D18" s="442" t="s">
        <v>118</v>
      </c>
      <c r="E18" s="443">
        <v>141516.69475234527</v>
      </c>
      <c r="F18" s="444">
        <v>316130.50200189342</v>
      </c>
      <c r="G18" s="445">
        <v>406464.72199894331</v>
      </c>
      <c r="K18" s="1069"/>
      <c r="L18" s="1064"/>
      <c r="M18" s="1064"/>
      <c r="N18" s="1064"/>
      <c r="O18" s="1064"/>
      <c r="P18" s="442" t="s">
        <v>129</v>
      </c>
      <c r="Q18" s="443">
        <v>115197.57983681787</v>
      </c>
      <c r="R18" s="444">
        <v>147672.78176265303</v>
      </c>
      <c r="S18" s="445">
        <v>45415.266266343315</v>
      </c>
      <c r="V18" s="1069"/>
      <c r="W18" s="1064"/>
      <c r="X18" s="1064"/>
      <c r="Y18" s="442" t="s">
        <v>127</v>
      </c>
      <c r="Z18" s="443">
        <v>172647.24287514182</v>
      </c>
      <c r="AA18" s="444">
        <v>350773.95784140774</v>
      </c>
      <c r="AB18" s="444">
        <v>371761.03399514116</v>
      </c>
      <c r="AC18" s="444">
        <v>223572.12978281372</v>
      </c>
      <c r="AD18" s="444">
        <v>386196.27038749447</v>
      </c>
      <c r="AE18" s="445">
        <v>366858.60308776173</v>
      </c>
      <c r="AF18" s="431"/>
      <c r="AG18" s="1070"/>
      <c r="AH18" s="1065"/>
      <c r="AI18" s="1065"/>
      <c r="AJ18" s="446" t="s">
        <v>129</v>
      </c>
      <c r="AK18" s="447">
        <v>69718.34578333114</v>
      </c>
      <c r="AL18" s="448">
        <v>134326.95259643599</v>
      </c>
      <c r="AM18" s="449">
        <v>116550.14537314084</v>
      </c>
      <c r="AO18" s="1069"/>
      <c r="AP18" s="1064"/>
      <c r="AQ18" s="1064"/>
      <c r="AR18" s="442" t="s">
        <v>127</v>
      </c>
      <c r="AS18" s="443">
        <v>24394.82466924646</v>
      </c>
      <c r="AT18" s="444">
        <v>52923.207526451333</v>
      </c>
      <c r="AU18" s="444">
        <v>69715.224530832842</v>
      </c>
      <c r="AV18" s="444">
        <v>26495.722940770524</v>
      </c>
      <c r="AW18" s="444">
        <v>68586.359844692139</v>
      </c>
      <c r="AX18" s="445">
        <v>71994.648549543446</v>
      </c>
      <c r="AY18" s="431"/>
    </row>
    <row r="19" spans="1:51" ht="15" customHeight="1" thickTop="1" x14ac:dyDescent="0.3">
      <c r="A19" s="1069"/>
      <c r="B19" s="1064" t="s">
        <v>115</v>
      </c>
      <c r="C19" s="1064" t="s">
        <v>135</v>
      </c>
      <c r="D19" s="442" t="s">
        <v>136</v>
      </c>
      <c r="E19" s="443">
        <v>1604572.9021185362</v>
      </c>
      <c r="F19" s="444">
        <v>2959482.4845976066</v>
      </c>
      <c r="G19" s="445">
        <v>2642026.7553777578</v>
      </c>
      <c r="K19" s="1069"/>
      <c r="L19" s="1064" t="s">
        <v>115</v>
      </c>
      <c r="M19" s="1064" t="s">
        <v>130</v>
      </c>
      <c r="N19" s="1064" t="s">
        <v>43</v>
      </c>
      <c r="O19" s="1064" t="s">
        <v>124</v>
      </c>
      <c r="P19" s="442"/>
      <c r="Q19" s="443"/>
      <c r="R19" s="444"/>
      <c r="S19" s="445"/>
      <c r="V19" s="1069"/>
      <c r="W19" s="1064"/>
      <c r="X19" s="1064"/>
      <c r="Y19" s="442" t="s">
        <v>128</v>
      </c>
      <c r="Z19" s="443">
        <v>173090.31106183561</v>
      </c>
      <c r="AA19" s="444">
        <v>303328.52842033788</v>
      </c>
      <c r="AB19" s="444">
        <v>255924.55386894825</v>
      </c>
      <c r="AC19" s="444">
        <v>201728.85386567688</v>
      </c>
      <c r="AD19" s="444">
        <v>332463.38845922129</v>
      </c>
      <c r="AE19" s="445">
        <v>282181.56232336018</v>
      </c>
      <c r="AF19" s="431"/>
      <c r="AG19" s="1064" t="s">
        <v>138</v>
      </c>
      <c r="AH19" s="1064"/>
      <c r="AI19" s="1064"/>
      <c r="AJ19" s="1064"/>
      <c r="AK19" s="1064"/>
      <c r="AL19" s="1064"/>
      <c r="AM19" s="1064"/>
      <c r="AO19" s="1069"/>
      <c r="AP19" s="1064"/>
      <c r="AQ19" s="1064"/>
      <c r="AR19" s="442" t="s">
        <v>128</v>
      </c>
      <c r="AS19" s="443">
        <v>23971.599852956602</v>
      </c>
      <c r="AT19" s="444">
        <v>46677.894049710121</v>
      </c>
      <c r="AU19" s="444">
        <v>44941.529736890458</v>
      </c>
      <c r="AV19" s="444">
        <v>25004.077816004319</v>
      </c>
      <c r="AW19" s="444">
        <v>51062.575092810475</v>
      </c>
      <c r="AX19" s="445">
        <v>53711.311045558301</v>
      </c>
      <c r="AY19" s="431"/>
    </row>
    <row r="20" spans="1:51" ht="15" thickBot="1" x14ac:dyDescent="0.35">
      <c r="A20" s="1069"/>
      <c r="B20" s="1064"/>
      <c r="C20" s="1064"/>
      <c r="D20" s="442" t="s">
        <v>118</v>
      </c>
      <c r="E20" s="443">
        <v>588545.21373367764</v>
      </c>
      <c r="F20" s="444">
        <v>957884.13799384236</v>
      </c>
      <c r="G20" s="445">
        <v>968908.70309224736</v>
      </c>
      <c r="K20" s="1069"/>
      <c r="L20" s="1064"/>
      <c r="M20" s="1064"/>
      <c r="N20" s="1064"/>
      <c r="O20" s="1064"/>
      <c r="P20" s="442" t="s">
        <v>123</v>
      </c>
      <c r="Q20" s="443">
        <v>16465.963405424845</v>
      </c>
      <c r="R20" s="444">
        <v>84885.408479389429</v>
      </c>
      <c r="S20" s="445">
        <v>273701.66421412048</v>
      </c>
      <c r="V20" s="1070"/>
      <c r="W20" s="1065"/>
      <c r="X20" s="1065"/>
      <c r="Y20" s="446" t="s">
        <v>129</v>
      </c>
      <c r="Z20" s="447">
        <v>309551.99095598992</v>
      </c>
      <c r="AA20" s="448">
        <v>391522.47811444051</v>
      </c>
      <c r="AB20" s="448">
        <v>255145.39080807971</v>
      </c>
      <c r="AC20" s="448">
        <v>340620.53244661086</v>
      </c>
      <c r="AD20" s="448">
        <v>450016.74919342127</v>
      </c>
      <c r="AE20" s="449">
        <v>280372.79743940115</v>
      </c>
      <c r="AF20" s="431"/>
      <c r="AO20" s="1070"/>
      <c r="AP20" s="1065"/>
      <c r="AQ20" s="1065"/>
      <c r="AR20" s="446" t="s">
        <v>129</v>
      </c>
      <c r="AS20" s="447">
        <v>34041.542771899876</v>
      </c>
      <c r="AT20" s="448">
        <v>62803.767753498279</v>
      </c>
      <c r="AU20" s="448">
        <v>55856.119867089808</v>
      </c>
      <c r="AV20" s="448">
        <v>35676.803011431228</v>
      </c>
      <c r="AW20" s="448">
        <v>71523.184842937932</v>
      </c>
      <c r="AX20" s="449">
        <v>60694.025506051126</v>
      </c>
      <c r="AY20" s="431"/>
    </row>
    <row r="21" spans="1:51" ht="15" thickTop="1" x14ac:dyDescent="0.3">
      <c r="A21" s="1069"/>
      <c r="B21" s="1064"/>
      <c r="C21" s="1064" t="s">
        <v>137</v>
      </c>
      <c r="D21" s="442" t="s">
        <v>136</v>
      </c>
      <c r="E21" s="443">
        <v>1604819.0146349277</v>
      </c>
      <c r="F21" s="444">
        <v>2960734.9747028365</v>
      </c>
      <c r="G21" s="445">
        <v>2640528.1527561727</v>
      </c>
      <c r="K21" s="1069"/>
      <c r="L21" s="1064"/>
      <c r="M21" s="1064"/>
      <c r="N21" s="1064"/>
      <c r="O21" s="1064"/>
      <c r="P21" s="442" t="s">
        <v>125</v>
      </c>
      <c r="Q21" s="443">
        <v>14948.458461109976</v>
      </c>
      <c r="R21" s="444">
        <v>70366.496377607051</v>
      </c>
      <c r="S21" s="445">
        <v>189742.06309213708</v>
      </c>
      <c r="V21" s="1064" t="s">
        <v>138</v>
      </c>
      <c r="W21" s="1064"/>
      <c r="X21" s="1064"/>
      <c r="Y21" s="1064"/>
      <c r="Z21" s="1064"/>
      <c r="AA21" s="1064"/>
      <c r="AB21" s="1064"/>
      <c r="AC21" s="1064"/>
      <c r="AD21" s="1064"/>
      <c r="AE21" s="1064"/>
      <c r="AF21" s="431"/>
      <c r="AO21" s="1064" t="s">
        <v>138</v>
      </c>
      <c r="AP21" s="1064"/>
      <c r="AQ21" s="1064"/>
      <c r="AR21" s="1064"/>
      <c r="AS21" s="1064"/>
      <c r="AT21" s="1064"/>
      <c r="AU21" s="1064"/>
      <c r="AV21" s="1064"/>
      <c r="AW21" s="1064"/>
      <c r="AX21" s="1064"/>
      <c r="AY21" s="431"/>
    </row>
    <row r="22" spans="1:51" ht="15" thickBot="1" x14ac:dyDescent="0.35">
      <c r="A22" s="1070"/>
      <c r="B22" s="1065"/>
      <c r="C22" s="1065"/>
      <c r="D22" s="446" t="s">
        <v>118</v>
      </c>
      <c r="E22" s="447">
        <v>588299.10121728759</v>
      </c>
      <c r="F22" s="448">
        <v>956631.64788863214</v>
      </c>
      <c r="G22" s="449">
        <v>970407.3057138531</v>
      </c>
      <c r="K22" s="1069"/>
      <c r="L22" s="1064"/>
      <c r="M22" s="1064"/>
      <c r="N22" s="1064"/>
      <c r="O22" s="1064"/>
      <c r="P22" s="442" t="s">
        <v>126</v>
      </c>
      <c r="Q22" s="443">
        <v>20245.509132107116</v>
      </c>
      <c r="R22" s="444">
        <v>140725.38132226645</v>
      </c>
      <c r="S22" s="445">
        <v>295561.93650294241</v>
      </c>
    </row>
    <row r="23" spans="1:51" ht="15.6" thickTop="1" thickBot="1" x14ac:dyDescent="0.35">
      <c r="A23" s="1064" t="s">
        <v>138</v>
      </c>
      <c r="B23" s="1064"/>
      <c r="C23" s="1064"/>
      <c r="D23" s="1064"/>
      <c r="E23" s="1064"/>
      <c r="F23" s="1064"/>
      <c r="G23" s="1064"/>
      <c r="K23" s="1069"/>
      <c r="L23" s="1064"/>
      <c r="M23" s="1064"/>
      <c r="N23" s="1064"/>
      <c r="O23" s="1064"/>
      <c r="P23" s="442" t="s">
        <v>127</v>
      </c>
      <c r="Q23" s="443">
        <v>18730.883245174682</v>
      </c>
      <c r="R23" s="444">
        <v>127060.43268037357</v>
      </c>
      <c r="S23" s="445">
        <v>315811.73769039015</v>
      </c>
    </row>
    <row r="24" spans="1:51" ht="15" thickTop="1" x14ac:dyDescent="0.3">
      <c r="K24" s="1069"/>
      <c r="L24" s="1064"/>
      <c r="M24" s="1064"/>
      <c r="N24" s="1064"/>
      <c r="O24" s="1064"/>
      <c r="P24" s="442" t="s">
        <v>128</v>
      </c>
      <c r="Q24" s="443">
        <v>35636.417785226171</v>
      </c>
      <c r="R24" s="444">
        <v>125090.0096342332</v>
      </c>
      <c r="S24" s="445">
        <v>253642.79978873153</v>
      </c>
      <c r="V24" s="1100"/>
      <c r="W24" s="1113"/>
      <c r="X24" s="1113"/>
      <c r="Y24" s="1101"/>
      <c r="Z24" s="1080" t="s">
        <v>82</v>
      </c>
      <c r="AA24" s="1081"/>
      <c r="AB24" s="1081"/>
      <c r="AC24" s="1081"/>
      <c r="AD24" s="1081"/>
      <c r="AE24" s="1082"/>
      <c r="AG24" s="1100"/>
      <c r="AH24" s="1113"/>
      <c r="AI24" s="1113"/>
      <c r="AJ24" s="1101"/>
      <c r="AK24" s="1080" t="s">
        <v>112</v>
      </c>
      <c r="AL24" s="1081"/>
      <c r="AM24" s="1082"/>
      <c r="AO24" s="1100"/>
      <c r="AP24" s="1113"/>
      <c r="AQ24" s="1113"/>
      <c r="AR24" s="1101"/>
      <c r="AS24" s="1080" t="s">
        <v>82</v>
      </c>
      <c r="AT24" s="1081"/>
      <c r="AU24" s="1081"/>
      <c r="AV24" s="1081"/>
      <c r="AW24" s="1081"/>
      <c r="AX24" s="1082"/>
      <c r="AY24" s="431"/>
    </row>
    <row r="25" spans="1:51" ht="15" thickBot="1" x14ac:dyDescent="0.35">
      <c r="K25" s="1069"/>
      <c r="L25" s="1064"/>
      <c r="M25" s="1064"/>
      <c r="N25" s="1064"/>
      <c r="O25" s="1064"/>
      <c r="P25" s="442" t="s">
        <v>129</v>
      </c>
      <c r="Q25" s="443">
        <v>44745.94085226969</v>
      </c>
      <c r="R25" s="444">
        <v>166177.42453995103</v>
      </c>
      <c r="S25" s="445">
        <v>261001.38433161002</v>
      </c>
      <c r="V25" s="1102"/>
      <c r="W25" s="1114"/>
      <c r="X25" s="1114"/>
      <c r="Y25" s="1103"/>
      <c r="Z25" s="1083" t="s">
        <v>83</v>
      </c>
      <c r="AA25" s="1066"/>
      <c r="AB25" s="1066"/>
      <c r="AC25" s="1066" t="s">
        <v>84</v>
      </c>
      <c r="AD25" s="1066"/>
      <c r="AE25" s="1067"/>
      <c r="AG25" s="1102"/>
      <c r="AH25" s="1114"/>
      <c r="AI25" s="1114"/>
      <c r="AJ25" s="1103"/>
      <c r="AK25" s="432" t="s">
        <v>92</v>
      </c>
      <c r="AL25" s="433" t="s">
        <v>6</v>
      </c>
      <c r="AM25" s="434" t="s">
        <v>93</v>
      </c>
      <c r="AO25" s="1102"/>
      <c r="AP25" s="1114"/>
      <c r="AQ25" s="1114"/>
      <c r="AR25" s="1103"/>
      <c r="AS25" s="1083" t="s">
        <v>83</v>
      </c>
      <c r="AT25" s="1066"/>
      <c r="AU25" s="1066"/>
      <c r="AV25" s="1066" t="s">
        <v>84</v>
      </c>
      <c r="AW25" s="1066"/>
      <c r="AX25" s="1067"/>
      <c r="AY25" s="431"/>
    </row>
    <row r="26" spans="1:51" ht="15.6" thickTop="1" thickBot="1" x14ac:dyDescent="0.35">
      <c r="A26" s="1100"/>
      <c r="B26" s="1101"/>
      <c r="C26" s="1080" t="s">
        <v>41</v>
      </c>
      <c r="D26" s="1081"/>
      <c r="E26" s="1082"/>
      <c r="K26" s="1069"/>
      <c r="L26" s="1064"/>
      <c r="M26" s="1064"/>
      <c r="N26" s="1064" t="s">
        <v>42</v>
      </c>
      <c r="O26" s="1064" t="s">
        <v>124</v>
      </c>
      <c r="P26" s="442"/>
      <c r="Q26" s="443"/>
      <c r="R26" s="444"/>
      <c r="S26" s="445"/>
      <c r="V26" s="1102"/>
      <c r="W26" s="1114"/>
      <c r="X26" s="1114"/>
      <c r="Y26" s="1103"/>
      <c r="Z26" s="1083" t="s">
        <v>112</v>
      </c>
      <c r="AA26" s="1066"/>
      <c r="AB26" s="1066"/>
      <c r="AC26" s="1066" t="s">
        <v>112</v>
      </c>
      <c r="AD26" s="1066"/>
      <c r="AE26" s="1067"/>
      <c r="AG26" s="1104"/>
      <c r="AH26" s="1115"/>
      <c r="AI26" s="1115"/>
      <c r="AJ26" s="1105"/>
      <c r="AK26" s="435" t="s">
        <v>40</v>
      </c>
      <c r="AL26" s="436" t="s">
        <v>40</v>
      </c>
      <c r="AM26" s="437" t="s">
        <v>40</v>
      </c>
      <c r="AO26" s="1102"/>
      <c r="AP26" s="1114"/>
      <c r="AQ26" s="1114"/>
      <c r="AR26" s="1103"/>
      <c r="AS26" s="1083" t="s">
        <v>112</v>
      </c>
      <c r="AT26" s="1066"/>
      <c r="AU26" s="1066"/>
      <c r="AV26" s="1066" t="s">
        <v>112</v>
      </c>
      <c r="AW26" s="1066"/>
      <c r="AX26" s="1067"/>
      <c r="AY26" s="431"/>
    </row>
    <row r="27" spans="1:51" ht="15" thickTop="1" x14ac:dyDescent="0.3">
      <c r="A27" s="1102"/>
      <c r="B27" s="1103"/>
      <c r="C27" s="1106" t="s">
        <v>118</v>
      </c>
      <c r="D27" s="1066"/>
      <c r="E27" s="1067"/>
      <c r="K27" s="1069"/>
      <c r="L27" s="1064"/>
      <c r="M27" s="1064"/>
      <c r="N27" s="1064"/>
      <c r="O27" s="1064"/>
      <c r="P27" s="442" t="s">
        <v>123</v>
      </c>
      <c r="Q27" s="443">
        <v>219247.20779664241</v>
      </c>
      <c r="R27" s="444">
        <v>431943.39731009648</v>
      </c>
      <c r="S27" s="445">
        <v>324665.18221424002</v>
      </c>
      <c r="V27" s="1102"/>
      <c r="W27" s="1114"/>
      <c r="X27" s="1114"/>
      <c r="Y27" s="1103"/>
      <c r="Z27" s="432" t="s">
        <v>92</v>
      </c>
      <c r="AA27" s="433" t="s">
        <v>6</v>
      </c>
      <c r="AB27" s="433" t="s">
        <v>93</v>
      </c>
      <c r="AC27" s="433" t="s">
        <v>92</v>
      </c>
      <c r="AD27" s="433" t="s">
        <v>6</v>
      </c>
      <c r="AE27" s="434" t="s">
        <v>93</v>
      </c>
      <c r="AG27" s="1068" t="s">
        <v>105</v>
      </c>
      <c r="AH27" s="1127" t="s">
        <v>118</v>
      </c>
      <c r="AI27" s="1063" t="s">
        <v>124</v>
      </c>
      <c r="AJ27" s="438" t="s">
        <v>122</v>
      </c>
      <c r="AK27" s="439">
        <v>12749.117903251486</v>
      </c>
      <c r="AL27" s="440">
        <v>24324.062390644071</v>
      </c>
      <c r="AM27" s="441">
        <v>38673.810836305092</v>
      </c>
      <c r="AO27" s="1102"/>
      <c r="AP27" s="1114"/>
      <c r="AQ27" s="1114"/>
      <c r="AR27" s="1103"/>
      <c r="AS27" s="432" t="s">
        <v>92</v>
      </c>
      <c r="AT27" s="433" t="s">
        <v>6</v>
      </c>
      <c r="AU27" s="433" t="s">
        <v>93</v>
      </c>
      <c r="AV27" s="433" t="s">
        <v>92</v>
      </c>
      <c r="AW27" s="433" t="s">
        <v>6</v>
      </c>
      <c r="AX27" s="434" t="s">
        <v>93</v>
      </c>
      <c r="AY27" s="431"/>
    </row>
    <row r="28" spans="1:51" ht="16.5" customHeight="1" thickBot="1" x14ac:dyDescent="0.35">
      <c r="A28" s="1102"/>
      <c r="B28" s="1103"/>
      <c r="C28" s="1083" t="s">
        <v>120</v>
      </c>
      <c r="D28" s="1066"/>
      <c r="E28" s="1067"/>
      <c r="K28" s="1069"/>
      <c r="L28" s="1064"/>
      <c r="M28" s="1064"/>
      <c r="N28" s="1064"/>
      <c r="O28" s="1064"/>
      <c r="P28" s="442" t="s">
        <v>125</v>
      </c>
      <c r="Q28" s="443">
        <v>174910.7396837624</v>
      </c>
      <c r="R28" s="444">
        <v>364894.55953301763</v>
      </c>
      <c r="S28" s="445">
        <v>221447.78151449622</v>
      </c>
      <c r="V28" s="1104"/>
      <c r="W28" s="1115"/>
      <c r="X28" s="1115"/>
      <c r="Y28" s="1105"/>
      <c r="Z28" s="435" t="s">
        <v>40</v>
      </c>
      <c r="AA28" s="436" t="s">
        <v>40</v>
      </c>
      <c r="AB28" s="436" t="s">
        <v>40</v>
      </c>
      <c r="AC28" s="436" t="s">
        <v>40</v>
      </c>
      <c r="AD28" s="436" t="s">
        <v>40</v>
      </c>
      <c r="AE28" s="437" t="s">
        <v>40</v>
      </c>
      <c r="AG28" s="1069"/>
      <c r="AH28" s="1064"/>
      <c r="AI28" s="1064"/>
      <c r="AJ28" s="442" t="s">
        <v>123</v>
      </c>
      <c r="AK28" s="443">
        <v>31516.898344992696</v>
      </c>
      <c r="AL28" s="444">
        <v>95788.125568778109</v>
      </c>
      <c r="AM28" s="445">
        <v>139175.18818155365</v>
      </c>
      <c r="AO28" s="1104"/>
      <c r="AP28" s="1115"/>
      <c r="AQ28" s="1115"/>
      <c r="AR28" s="1105"/>
      <c r="AS28" s="435" t="s">
        <v>40</v>
      </c>
      <c r="AT28" s="436" t="s">
        <v>40</v>
      </c>
      <c r="AU28" s="436" t="s">
        <v>40</v>
      </c>
      <c r="AV28" s="436" t="s">
        <v>40</v>
      </c>
      <c r="AW28" s="436" t="s">
        <v>40</v>
      </c>
      <c r="AX28" s="437" t="s">
        <v>40</v>
      </c>
      <c r="AY28" s="431"/>
    </row>
    <row r="29" spans="1:51" ht="15" thickTop="1" x14ac:dyDescent="0.3">
      <c r="A29" s="1102"/>
      <c r="B29" s="1103"/>
      <c r="C29" s="432" t="s">
        <v>92</v>
      </c>
      <c r="D29" s="433" t="s">
        <v>6</v>
      </c>
      <c r="E29" s="434" t="s">
        <v>93</v>
      </c>
      <c r="K29" s="1069"/>
      <c r="L29" s="1064"/>
      <c r="M29" s="1064"/>
      <c r="N29" s="1064"/>
      <c r="O29" s="1064"/>
      <c r="P29" s="442" t="s">
        <v>126</v>
      </c>
      <c r="Q29" s="443">
        <v>263242.8168023192</v>
      </c>
      <c r="R29" s="444">
        <v>461239.94982554211</v>
      </c>
      <c r="S29" s="445">
        <v>306719.94792949577</v>
      </c>
      <c r="V29" s="1068" t="s">
        <v>131</v>
      </c>
      <c r="W29" s="1063" t="s">
        <v>121</v>
      </c>
      <c r="X29" s="1063" t="s">
        <v>124</v>
      </c>
      <c r="Y29" s="438" t="s">
        <v>122</v>
      </c>
      <c r="Z29" s="439">
        <v>11787.943417288421</v>
      </c>
      <c r="AA29" s="440">
        <v>24160.770283450955</v>
      </c>
      <c r="AB29" s="440">
        <v>38132.270727992698</v>
      </c>
      <c r="AC29" s="440">
        <v>9051.7151708801739</v>
      </c>
      <c r="AD29" s="440">
        <v>20150.421595104985</v>
      </c>
      <c r="AE29" s="441">
        <v>37870.916025136743</v>
      </c>
      <c r="AG29" s="1069"/>
      <c r="AH29" s="1064"/>
      <c r="AI29" s="1064"/>
      <c r="AJ29" s="442" t="s">
        <v>125</v>
      </c>
      <c r="AK29" s="443">
        <v>30964.861246560144</v>
      </c>
      <c r="AL29" s="444">
        <v>75962.093342626846</v>
      </c>
      <c r="AM29" s="445">
        <v>97581.335059692559</v>
      </c>
      <c r="AO29" s="1068" t="s">
        <v>105</v>
      </c>
      <c r="AP29" s="1127" t="s">
        <v>118</v>
      </c>
      <c r="AQ29" s="1063" t="s">
        <v>124</v>
      </c>
      <c r="AR29" s="438" t="s">
        <v>122</v>
      </c>
      <c r="AS29" s="439">
        <v>6123.830667369285</v>
      </c>
      <c r="AT29" s="440">
        <v>13146.6381947384</v>
      </c>
      <c r="AU29" s="440">
        <v>19787.855224159313</v>
      </c>
      <c r="AV29" s="440">
        <v>6625.287235882206</v>
      </c>
      <c r="AW29" s="440">
        <v>11177.424195905658</v>
      </c>
      <c r="AX29" s="441">
        <v>18885.955612145768</v>
      </c>
      <c r="AY29" s="431"/>
    </row>
    <row r="30" spans="1:51" ht="15" thickBot="1" x14ac:dyDescent="0.35">
      <c r="A30" s="1104"/>
      <c r="B30" s="1105"/>
      <c r="C30" s="435" t="s">
        <v>40</v>
      </c>
      <c r="D30" s="436" t="s">
        <v>40</v>
      </c>
      <c r="E30" s="437" t="s">
        <v>40</v>
      </c>
      <c r="K30" s="1069"/>
      <c r="L30" s="1064"/>
      <c r="M30" s="1064"/>
      <c r="N30" s="1064"/>
      <c r="O30" s="1064"/>
      <c r="P30" s="442" t="s">
        <v>127</v>
      </c>
      <c r="Q30" s="443">
        <v>377488.48941278202</v>
      </c>
      <c r="R30" s="444">
        <v>609909.79554853099</v>
      </c>
      <c r="S30" s="445">
        <v>422807.89939251286</v>
      </c>
      <c r="V30" s="1069"/>
      <c r="W30" s="1064"/>
      <c r="X30" s="1064"/>
      <c r="Y30" s="442" t="s">
        <v>123</v>
      </c>
      <c r="Z30" s="443">
        <v>28901.192962052006</v>
      </c>
      <c r="AA30" s="444">
        <v>89233.642403430451</v>
      </c>
      <c r="AB30" s="444">
        <v>129893.09974636747</v>
      </c>
      <c r="AC30" s="444">
        <v>33030.323824315514</v>
      </c>
      <c r="AD30" s="444">
        <v>84054.841215805573</v>
      </c>
      <c r="AE30" s="445">
        <v>117359.41428079213</v>
      </c>
      <c r="AG30" s="1069"/>
      <c r="AH30" s="1064"/>
      <c r="AI30" s="1064"/>
      <c r="AJ30" s="442" t="s">
        <v>126</v>
      </c>
      <c r="AK30" s="443">
        <v>47337.866446934837</v>
      </c>
      <c r="AL30" s="444">
        <v>109657.13843115859</v>
      </c>
      <c r="AM30" s="445">
        <v>145308.17439558919</v>
      </c>
      <c r="AO30" s="1069"/>
      <c r="AP30" s="1064"/>
      <c r="AQ30" s="1064"/>
      <c r="AR30" s="442" t="s">
        <v>123</v>
      </c>
      <c r="AS30" s="443">
        <v>13900.724518346253</v>
      </c>
      <c r="AT30" s="444">
        <v>52555.482839887263</v>
      </c>
      <c r="AU30" s="444">
        <v>72473.595917057712</v>
      </c>
      <c r="AV30" s="444">
        <v>17616.173826646434</v>
      </c>
      <c r="AW30" s="444">
        <v>43232.642728890256</v>
      </c>
      <c r="AX30" s="445">
        <v>66701.592264496372</v>
      </c>
      <c r="AY30" s="431"/>
    </row>
    <row r="31" spans="1:51" ht="15" thickTop="1" x14ac:dyDescent="0.3">
      <c r="A31" s="1068" t="s">
        <v>105</v>
      </c>
      <c r="B31" s="438" t="s">
        <v>106</v>
      </c>
      <c r="C31" s="439">
        <v>73079.482916342109</v>
      </c>
      <c r="D31" s="440">
        <v>162232.05921139699</v>
      </c>
      <c r="E31" s="441">
        <v>204016.97937591196</v>
      </c>
      <c r="F31" s="44"/>
      <c r="K31" s="1069"/>
      <c r="L31" s="1064"/>
      <c r="M31" s="1064"/>
      <c r="N31" s="1064"/>
      <c r="O31" s="1064"/>
      <c r="P31" s="442" t="s">
        <v>128</v>
      </c>
      <c r="Q31" s="443">
        <v>339182.74714228575</v>
      </c>
      <c r="R31" s="444">
        <v>510701.90724532516</v>
      </c>
      <c r="S31" s="445">
        <v>284463.31640357693</v>
      </c>
      <c r="V31" s="1069"/>
      <c r="W31" s="1064"/>
      <c r="X31" s="1064"/>
      <c r="Y31" s="442" t="s">
        <v>125</v>
      </c>
      <c r="Z31" s="443">
        <v>35280.804833502196</v>
      </c>
      <c r="AA31" s="444">
        <v>76392.133573855739</v>
      </c>
      <c r="AB31" s="444">
        <v>90126.102519730819</v>
      </c>
      <c r="AC31" s="444">
        <v>25825.190609325804</v>
      </c>
      <c r="AD31" s="444">
        <v>68386.68154895163</v>
      </c>
      <c r="AE31" s="445">
        <v>92083.910567250641</v>
      </c>
      <c r="AG31" s="1069"/>
      <c r="AH31" s="1064"/>
      <c r="AI31" s="1064"/>
      <c r="AJ31" s="442" t="s">
        <v>127</v>
      </c>
      <c r="AK31" s="443">
        <v>52433.386938860764</v>
      </c>
      <c r="AL31" s="444">
        <v>121226.47901785995</v>
      </c>
      <c r="AM31" s="445">
        <v>167529.90862127036</v>
      </c>
      <c r="AO31" s="1069"/>
      <c r="AP31" s="1064"/>
      <c r="AQ31" s="1064"/>
      <c r="AR31" s="442" t="s">
        <v>125</v>
      </c>
      <c r="AS31" s="443">
        <v>19269.23280701954</v>
      </c>
      <c r="AT31" s="444">
        <v>41428.953805579105</v>
      </c>
      <c r="AU31" s="444">
        <v>53149.393313362889</v>
      </c>
      <c r="AV31" s="444">
        <v>11695.628439540616</v>
      </c>
      <c r="AW31" s="444">
        <v>34533.13953704758</v>
      </c>
      <c r="AX31" s="445">
        <v>44431.941746329961</v>
      </c>
      <c r="AY31" s="431"/>
    </row>
    <row r="32" spans="1:51" ht="15.75" customHeight="1" thickBot="1" x14ac:dyDescent="0.35">
      <c r="A32" s="1070"/>
      <c r="B32" s="446" t="s">
        <v>107</v>
      </c>
      <c r="C32" s="447">
        <v>71899.203378082908</v>
      </c>
      <c r="D32" s="448">
        <v>157107.41137986365</v>
      </c>
      <c r="E32" s="449">
        <v>195776.78249158815</v>
      </c>
      <c r="K32" s="1070"/>
      <c r="L32" s="1065"/>
      <c r="M32" s="1065"/>
      <c r="N32" s="1065"/>
      <c r="O32" s="1065"/>
      <c r="P32" s="446" t="s">
        <v>129</v>
      </c>
      <c r="Q32" s="447">
        <v>605426.5825503323</v>
      </c>
      <c r="R32" s="448">
        <v>675361.80276791251</v>
      </c>
      <c r="S32" s="449">
        <v>274516.80391587073</v>
      </c>
      <c r="V32" s="1069"/>
      <c r="W32" s="1064"/>
      <c r="X32" s="1064"/>
      <c r="Y32" s="442" t="s">
        <v>126</v>
      </c>
      <c r="Z32" s="443">
        <v>42679.294583686496</v>
      </c>
      <c r="AA32" s="444">
        <v>98487.34217455679</v>
      </c>
      <c r="AB32" s="444">
        <v>132079.85706168014</v>
      </c>
      <c r="AC32" s="444">
        <v>44122.077067485021</v>
      </c>
      <c r="AD32" s="444">
        <v>107909.25046013456</v>
      </c>
      <c r="AE32" s="445">
        <v>145217.66400369332</v>
      </c>
      <c r="AG32" s="1069"/>
      <c r="AH32" s="1064"/>
      <c r="AI32" s="1064"/>
      <c r="AJ32" s="442" t="s">
        <v>128</v>
      </c>
      <c r="AK32" s="443">
        <v>49203.694875992231</v>
      </c>
      <c r="AL32" s="444">
        <v>107623.21315754605</v>
      </c>
      <c r="AM32" s="445">
        <v>102410.61751357628</v>
      </c>
      <c r="AO32" s="1069"/>
      <c r="AP32" s="1064"/>
      <c r="AQ32" s="1064"/>
      <c r="AR32" s="442" t="s">
        <v>126</v>
      </c>
      <c r="AS32" s="443">
        <v>24897.646205309538</v>
      </c>
      <c r="AT32" s="444">
        <v>50947.056003987367</v>
      </c>
      <c r="AU32" s="444">
        <v>67755.235949164431</v>
      </c>
      <c r="AV32" s="444">
        <v>22440.220241625233</v>
      </c>
      <c r="AW32" s="444">
        <v>58710.082427171365</v>
      </c>
      <c r="AX32" s="445">
        <v>77552.938446425163</v>
      </c>
      <c r="AY32" s="431"/>
    </row>
    <row r="33" spans="2:51" ht="15" thickTop="1" x14ac:dyDescent="0.3">
      <c r="K33" s="1064" t="s">
        <v>138</v>
      </c>
      <c r="L33" s="1064"/>
      <c r="M33" s="1064"/>
      <c r="N33" s="1064"/>
      <c r="O33" s="1064"/>
      <c r="P33" s="1064"/>
      <c r="Q33" s="1064"/>
      <c r="R33" s="1064"/>
      <c r="S33" s="1064"/>
      <c r="V33" s="1069"/>
      <c r="W33" s="1064"/>
      <c r="X33" s="1064"/>
      <c r="Y33" s="442" t="s">
        <v>127</v>
      </c>
      <c r="Z33" s="443">
        <v>47656.667957127291</v>
      </c>
      <c r="AA33" s="444">
        <v>106563.35915910687</v>
      </c>
      <c r="AB33" s="444">
        <v>143758.92784236153</v>
      </c>
      <c r="AC33" s="444">
        <v>55667.266591750435</v>
      </c>
      <c r="AD33" s="444">
        <v>136172.68722989681</v>
      </c>
      <c r="AE33" s="445">
        <v>165480.85385928486</v>
      </c>
      <c r="AG33" s="1069"/>
      <c r="AH33" s="1064"/>
      <c r="AI33" s="1064"/>
      <c r="AJ33" s="442" t="s">
        <v>129</v>
      </c>
      <c r="AK33" s="443">
        <v>71139.976930729943</v>
      </c>
      <c r="AL33" s="444">
        <v>143398.47734422691</v>
      </c>
      <c r="AM33" s="445">
        <v>136292.68305581564</v>
      </c>
      <c r="AO33" s="1069"/>
      <c r="AP33" s="1064"/>
      <c r="AQ33" s="1064"/>
      <c r="AR33" s="442" t="s">
        <v>127</v>
      </c>
      <c r="AS33" s="443">
        <v>23261.843287880842</v>
      </c>
      <c r="AT33" s="444">
        <v>53640.151632655521</v>
      </c>
      <c r="AU33" s="444">
        <v>74043.703311528952</v>
      </c>
      <c r="AV33" s="444">
        <v>29171.543650979875</v>
      </c>
      <c r="AW33" s="444">
        <v>67586.327385204801</v>
      </c>
      <c r="AX33" s="445">
        <v>93486.205309741781</v>
      </c>
      <c r="AY33" s="431"/>
    </row>
    <row r="34" spans="2:51" x14ac:dyDescent="0.3">
      <c r="V34" s="1069"/>
      <c r="W34" s="1064"/>
      <c r="X34" s="1064"/>
      <c r="Y34" s="442" t="s">
        <v>128</v>
      </c>
      <c r="Z34" s="443">
        <v>46904.706217489591</v>
      </c>
      <c r="AA34" s="444">
        <v>94349.851055323583</v>
      </c>
      <c r="AB34" s="444">
        <v>93731.926134649664</v>
      </c>
      <c r="AC34" s="444">
        <v>51274.66632746363</v>
      </c>
      <c r="AD34" s="444">
        <v>111013.83124474336</v>
      </c>
      <c r="AE34" s="445">
        <v>107331.53216137576</v>
      </c>
      <c r="AG34" s="1069"/>
      <c r="AH34" s="1128" t="s">
        <v>119</v>
      </c>
      <c r="AI34" s="1064" t="s">
        <v>124</v>
      </c>
      <c r="AJ34" s="442" t="s">
        <v>122</v>
      </c>
      <c r="AK34" s="443">
        <v>8090.540684917105</v>
      </c>
      <c r="AL34" s="444">
        <v>19987.129487911865</v>
      </c>
      <c r="AM34" s="445">
        <v>37329.375916824349</v>
      </c>
      <c r="AO34" s="1069"/>
      <c r="AP34" s="1064"/>
      <c r="AQ34" s="1064"/>
      <c r="AR34" s="442" t="s">
        <v>128</v>
      </c>
      <c r="AS34" s="443">
        <v>22933.106364532985</v>
      </c>
      <c r="AT34" s="444">
        <v>47671.957005613323</v>
      </c>
      <c r="AU34" s="444">
        <v>48790.396397759076</v>
      </c>
      <c r="AV34" s="444">
        <v>26270.588511459231</v>
      </c>
      <c r="AW34" s="444">
        <v>59951.256151932954</v>
      </c>
      <c r="AX34" s="445">
        <v>53620.221115817607</v>
      </c>
      <c r="AY34" s="431"/>
    </row>
    <row r="35" spans="2:51" ht="15" thickBot="1" x14ac:dyDescent="0.35">
      <c r="F35" s="324">
        <v>439328.52150365105</v>
      </c>
      <c r="G35" s="324">
        <v>424783.39724953473</v>
      </c>
      <c r="V35" s="1069"/>
      <c r="W35" s="1064"/>
      <c r="X35" s="1064"/>
      <c r="Y35" s="442" t="s">
        <v>129</v>
      </c>
      <c r="Z35" s="443">
        <v>67098.431611907145</v>
      </c>
      <c r="AA35" s="444">
        <v>130105.06711217923</v>
      </c>
      <c r="AB35" s="444">
        <v>117914.77772630437</v>
      </c>
      <c r="AC35" s="444">
        <v>73759.891102154012</v>
      </c>
      <c r="AD35" s="444">
        <v>147620.36282848343</v>
      </c>
      <c r="AE35" s="445">
        <v>134928.05070265222</v>
      </c>
      <c r="AG35" s="1069"/>
      <c r="AH35" s="1064"/>
      <c r="AI35" s="1064"/>
      <c r="AJ35" s="442" t="s">
        <v>123</v>
      </c>
      <c r="AK35" s="443">
        <v>30414.618441374823</v>
      </c>
      <c r="AL35" s="444">
        <v>77500.358050458337</v>
      </c>
      <c r="AM35" s="445">
        <v>108077.32584560529</v>
      </c>
      <c r="AO35" s="1069"/>
      <c r="AP35" s="1064"/>
      <c r="AQ35" s="1064"/>
      <c r="AR35" s="442" t="s">
        <v>129</v>
      </c>
      <c r="AS35" s="443">
        <v>33056.88884000729</v>
      </c>
      <c r="AT35" s="444">
        <v>67301.299358681325</v>
      </c>
      <c r="AU35" s="444">
        <v>62058.657859214749</v>
      </c>
      <c r="AV35" s="444">
        <v>38083.088090722646</v>
      </c>
      <c r="AW35" s="444">
        <v>76097.177985545626</v>
      </c>
      <c r="AX35" s="445">
        <v>74234.025196601084</v>
      </c>
      <c r="AY35" s="431"/>
    </row>
    <row r="36" spans="2:51" ht="15.6" thickTop="1" thickBot="1" x14ac:dyDescent="0.35">
      <c r="B36" s="1125"/>
      <c r="C36" s="1126"/>
      <c r="D36" s="574" t="s">
        <v>40</v>
      </c>
      <c r="V36" s="1069"/>
      <c r="W36" s="1064" t="s">
        <v>115</v>
      </c>
      <c r="X36" s="1064" t="s">
        <v>124</v>
      </c>
      <c r="Y36" s="442" t="s">
        <v>122</v>
      </c>
      <c r="Z36" s="443">
        <v>37760.765990128646</v>
      </c>
      <c r="AA36" s="444">
        <v>75085.768834940391</v>
      </c>
      <c r="AB36" s="444">
        <v>87254.159211563776</v>
      </c>
      <c r="AC36" s="444">
        <v>25085.593592652676</v>
      </c>
      <c r="AD36" s="444">
        <v>73924.288492248728</v>
      </c>
      <c r="AE36" s="445">
        <v>99598.78226830608</v>
      </c>
      <c r="AG36" s="1069"/>
      <c r="AH36" s="1064"/>
      <c r="AI36" s="1064"/>
      <c r="AJ36" s="442" t="s">
        <v>125</v>
      </c>
      <c r="AK36" s="443">
        <v>30141.134196267823</v>
      </c>
      <c r="AL36" s="444">
        <v>68816.721780180684</v>
      </c>
      <c r="AM36" s="445">
        <v>84628.678027288668</v>
      </c>
      <c r="AO36" s="1069"/>
      <c r="AP36" s="1128" t="s">
        <v>119</v>
      </c>
      <c r="AQ36" s="1064" t="s">
        <v>124</v>
      </c>
      <c r="AR36" s="442" t="s">
        <v>122</v>
      </c>
      <c r="AS36" s="443">
        <v>5664.1127499191361</v>
      </c>
      <c r="AT36" s="444">
        <v>11014.132088712555</v>
      </c>
      <c r="AU36" s="444">
        <v>18344.415503833359</v>
      </c>
      <c r="AV36" s="444">
        <v>2426.4279349979688</v>
      </c>
      <c r="AW36" s="444">
        <v>8972.9973991993102</v>
      </c>
      <c r="AX36" s="445">
        <v>18984.960412990971</v>
      </c>
      <c r="AY36" s="431"/>
    </row>
    <row r="37" spans="2:51" ht="15" thickTop="1" x14ac:dyDescent="0.3">
      <c r="B37" s="1068" t="s">
        <v>121</v>
      </c>
      <c r="C37" s="575" t="s">
        <v>149</v>
      </c>
      <c r="D37" s="578">
        <f>ROUND(226035.353797724,0)</f>
        <v>226035</v>
      </c>
      <c r="E37" s="43">
        <f>D37+D39+D40</f>
        <v>424783</v>
      </c>
      <c r="K37" s="1116" t="s">
        <v>139</v>
      </c>
      <c r="L37" s="1117"/>
      <c r="M37" s="1117"/>
      <c r="N37" s="1117"/>
      <c r="O37" s="1117"/>
      <c r="P37" s="1118"/>
      <c r="Q37" s="1080" t="s">
        <v>112</v>
      </c>
      <c r="R37" s="1081"/>
      <c r="S37" s="1082"/>
      <c r="V37" s="1069"/>
      <c r="W37" s="1064"/>
      <c r="X37" s="1064"/>
      <c r="Y37" s="442" t="s">
        <v>123</v>
      </c>
      <c r="Z37" s="443">
        <v>117272.78789583223</v>
      </c>
      <c r="AA37" s="444">
        <v>257094.73419934433</v>
      </c>
      <c r="AB37" s="444">
        <v>297606.68933608936</v>
      </c>
      <c r="AC37" s="444">
        <v>118440.38330623461</v>
      </c>
      <c r="AD37" s="444">
        <v>259734.07159014145</v>
      </c>
      <c r="AE37" s="445">
        <v>300760.1570922712</v>
      </c>
      <c r="AG37" s="1069"/>
      <c r="AH37" s="1064"/>
      <c r="AI37" s="1064"/>
      <c r="AJ37" s="442" t="s">
        <v>126</v>
      </c>
      <c r="AK37" s="443">
        <v>39463.505204236732</v>
      </c>
      <c r="AL37" s="444">
        <v>96739.454203533256</v>
      </c>
      <c r="AM37" s="445">
        <v>131989.34666978483</v>
      </c>
      <c r="AO37" s="1069"/>
      <c r="AP37" s="1064"/>
      <c r="AQ37" s="1064"/>
      <c r="AR37" s="442" t="s">
        <v>123</v>
      </c>
      <c r="AS37" s="443">
        <v>15000.468443705753</v>
      </c>
      <c r="AT37" s="444">
        <v>36678.159563542824</v>
      </c>
      <c r="AU37" s="444">
        <v>57419.503829309455</v>
      </c>
      <c r="AV37" s="444">
        <v>15414.14999766905</v>
      </c>
      <c r="AW37" s="444">
        <v>40822.198486915688</v>
      </c>
      <c r="AX37" s="445">
        <v>50657.822016296028</v>
      </c>
      <c r="AY37" s="431"/>
    </row>
    <row r="38" spans="2:51" x14ac:dyDescent="0.3">
      <c r="B38" s="1069"/>
      <c r="C38" s="576" t="s">
        <v>150</v>
      </c>
      <c r="D38" s="579">
        <f>ROUND(150494.501992033,0)</f>
        <v>150495</v>
      </c>
      <c r="E38" s="43"/>
      <c r="K38" s="1119"/>
      <c r="L38" s="1120"/>
      <c r="M38" s="1120"/>
      <c r="N38" s="1120"/>
      <c r="O38" s="1120"/>
      <c r="P38" s="1121"/>
      <c r="Q38" s="432" t="s">
        <v>92</v>
      </c>
      <c r="R38" s="433" t="s">
        <v>6</v>
      </c>
      <c r="S38" s="434" t="s">
        <v>93</v>
      </c>
      <c r="V38" s="1069"/>
      <c r="W38" s="1064"/>
      <c r="X38" s="1064"/>
      <c r="Y38" s="442" t="s">
        <v>125</v>
      </c>
      <c r="Z38" s="443">
        <v>100337.10905078072</v>
      </c>
      <c r="AA38" s="444">
        <v>215726.27939330388</v>
      </c>
      <c r="AB38" s="444">
        <v>209863.76376025419</v>
      </c>
      <c r="AC38" s="444">
        <v>89522.089094091469</v>
      </c>
      <c r="AD38" s="444">
        <v>219534.77651732095</v>
      </c>
      <c r="AE38" s="445">
        <v>201326.08084637905</v>
      </c>
      <c r="AG38" s="1069"/>
      <c r="AH38" s="1064"/>
      <c r="AI38" s="1064"/>
      <c r="AJ38" s="442" t="s">
        <v>127</v>
      </c>
      <c r="AK38" s="443">
        <v>50890.547610016954</v>
      </c>
      <c r="AL38" s="444">
        <v>121509.56737114345</v>
      </c>
      <c r="AM38" s="445">
        <v>141709.87308037633</v>
      </c>
      <c r="AO38" s="1069"/>
      <c r="AP38" s="1064"/>
      <c r="AQ38" s="1064"/>
      <c r="AR38" s="442" t="s">
        <v>125</v>
      </c>
      <c r="AS38" s="443">
        <v>16011.572026482638</v>
      </c>
      <c r="AT38" s="444">
        <v>34963.179768276605</v>
      </c>
      <c r="AU38" s="444">
        <v>36976.709206367988</v>
      </c>
      <c r="AV38" s="444">
        <v>14129.562169785177</v>
      </c>
      <c r="AW38" s="444">
        <v>33853.542011904137</v>
      </c>
      <c r="AX38" s="445">
        <v>47651.968820920913</v>
      </c>
      <c r="AY38" s="431"/>
    </row>
    <row r="39" spans="2:51" ht="15" thickBot="1" x14ac:dyDescent="0.35">
      <c r="B39" s="1069"/>
      <c r="C39" s="576" t="s">
        <v>151</v>
      </c>
      <c r="D39" s="579">
        <f>ROUND(116410.677530021,0)</f>
        <v>116411</v>
      </c>
      <c r="E39" s="43"/>
      <c r="K39" s="1122"/>
      <c r="L39" s="1123"/>
      <c r="M39" s="1123"/>
      <c r="N39" s="1123"/>
      <c r="O39" s="1123"/>
      <c r="P39" s="1124"/>
      <c r="Q39" s="435" t="s">
        <v>40</v>
      </c>
      <c r="R39" s="436" t="s">
        <v>40</v>
      </c>
      <c r="S39" s="437" t="s">
        <v>40</v>
      </c>
      <c r="V39" s="1069"/>
      <c r="W39" s="1064"/>
      <c r="X39" s="1064"/>
      <c r="Y39" s="442" t="s">
        <v>126</v>
      </c>
      <c r="Z39" s="443">
        <v>148325.20186508339</v>
      </c>
      <c r="AA39" s="444">
        <v>305069.39523952757</v>
      </c>
      <c r="AB39" s="444">
        <v>292819.82288879919</v>
      </c>
      <c r="AC39" s="444">
        <v>135163.12406934268</v>
      </c>
      <c r="AD39" s="444">
        <v>296895.93590827932</v>
      </c>
      <c r="AE39" s="445">
        <v>309462.06154363853</v>
      </c>
      <c r="AG39" s="1069"/>
      <c r="AH39" s="1064"/>
      <c r="AI39" s="1064"/>
      <c r="AJ39" s="442" t="s">
        <v>128</v>
      </c>
      <c r="AK39" s="443">
        <v>48975.677668960954</v>
      </c>
      <c r="AL39" s="444">
        <v>97740.469142520567</v>
      </c>
      <c r="AM39" s="445">
        <v>98652.840782448679</v>
      </c>
      <c r="AO39" s="1069"/>
      <c r="AP39" s="1064"/>
      <c r="AQ39" s="1064"/>
      <c r="AR39" s="442" t="s">
        <v>126</v>
      </c>
      <c r="AS39" s="443">
        <v>17781.6483783769</v>
      </c>
      <c r="AT39" s="444">
        <v>47540.286170569954</v>
      </c>
      <c r="AU39" s="444">
        <v>64324.621112516681</v>
      </c>
      <c r="AV39" s="444">
        <v>21681.856825859817</v>
      </c>
      <c r="AW39" s="444">
        <v>49199.168032963615</v>
      </c>
      <c r="AX39" s="445">
        <v>67664.725557268772</v>
      </c>
      <c r="AY39" s="431"/>
    </row>
    <row r="40" spans="2:51" ht="15.6" thickTop="1" thickBot="1" x14ac:dyDescent="0.35">
      <c r="B40" s="1069"/>
      <c r="C40" s="576" t="s">
        <v>152</v>
      </c>
      <c r="D40" s="579">
        <f>ROUND(82337.3659217889,0)</f>
        <v>82337</v>
      </c>
      <c r="E40" s="43">
        <f>D38+D42+D43</f>
        <v>439329</v>
      </c>
      <c r="K40" s="1068" t="s">
        <v>131</v>
      </c>
      <c r="L40" s="1063" t="s">
        <v>121</v>
      </c>
      <c r="M40" s="1063" t="s">
        <v>130</v>
      </c>
      <c r="N40" s="1063" t="s">
        <v>43</v>
      </c>
      <c r="O40" s="1063" t="s">
        <v>124</v>
      </c>
      <c r="P40" s="438" t="s">
        <v>122</v>
      </c>
      <c r="Q40" s="439">
        <v>4210.5270421970572</v>
      </c>
      <c r="R40" s="440">
        <v>20408.870674410813</v>
      </c>
      <c r="S40" s="441">
        <v>61329.986082146555</v>
      </c>
      <c r="V40" s="1069"/>
      <c r="W40" s="1064"/>
      <c r="X40" s="1064"/>
      <c r="Y40" s="442" t="s">
        <v>127</v>
      </c>
      <c r="Z40" s="443">
        <v>172647.24287514182</v>
      </c>
      <c r="AA40" s="444">
        <v>350773.95784140774</v>
      </c>
      <c r="AB40" s="444">
        <v>371761.03399514116</v>
      </c>
      <c r="AC40" s="444">
        <v>223572.12978281372</v>
      </c>
      <c r="AD40" s="444">
        <v>386196.27038749447</v>
      </c>
      <c r="AE40" s="445">
        <v>366858.60308776173</v>
      </c>
      <c r="AG40" s="1070"/>
      <c r="AH40" s="1065"/>
      <c r="AI40" s="1065"/>
      <c r="AJ40" s="446" t="s">
        <v>129</v>
      </c>
      <c r="AK40" s="447">
        <v>69718.34578333114</v>
      </c>
      <c r="AL40" s="448">
        <v>134326.95259643599</v>
      </c>
      <c r="AM40" s="449">
        <v>116550.14537314084</v>
      </c>
      <c r="AO40" s="1069"/>
      <c r="AP40" s="1064"/>
      <c r="AQ40" s="1064"/>
      <c r="AR40" s="442" t="s">
        <v>127</v>
      </c>
      <c r="AS40" s="443">
        <v>24394.82466924646</v>
      </c>
      <c r="AT40" s="444">
        <v>52923.207526451333</v>
      </c>
      <c r="AU40" s="444">
        <v>69715.224530832842</v>
      </c>
      <c r="AV40" s="444">
        <v>26495.722940770524</v>
      </c>
      <c r="AW40" s="444">
        <v>68586.359844692139</v>
      </c>
      <c r="AX40" s="445">
        <v>71994.648549543446</v>
      </c>
      <c r="AY40" s="431"/>
    </row>
    <row r="41" spans="2:51" ht="15" thickTop="1" x14ac:dyDescent="0.3">
      <c r="B41" s="1069"/>
      <c r="C41" s="576" t="s">
        <v>115</v>
      </c>
      <c r="D41" s="579">
        <v>2515338.0548197981</v>
      </c>
      <c r="K41" s="1069"/>
      <c r="L41" s="1064"/>
      <c r="M41" s="1064"/>
      <c r="N41" s="1064"/>
      <c r="O41" s="1064"/>
      <c r="P41" s="442" t="s">
        <v>123</v>
      </c>
      <c r="Q41" s="443">
        <v>12005.555233779971</v>
      </c>
      <c r="R41" s="444">
        <v>81016.026070994863</v>
      </c>
      <c r="S41" s="445">
        <v>204169.91911729838</v>
      </c>
      <c r="V41" s="1069"/>
      <c r="W41" s="1064"/>
      <c r="X41" s="1064"/>
      <c r="Y41" s="442" t="s">
        <v>128</v>
      </c>
      <c r="Z41" s="443">
        <v>173090.31106183561</v>
      </c>
      <c r="AA41" s="444">
        <v>303328.52842033788</v>
      </c>
      <c r="AB41" s="444">
        <v>255924.55386894825</v>
      </c>
      <c r="AC41" s="444">
        <v>201728.85386567688</v>
      </c>
      <c r="AD41" s="444">
        <v>332463.38845922129</v>
      </c>
      <c r="AE41" s="445">
        <v>282181.56232336018</v>
      </c>
      <c r="AG41" s="1064" t="s">
        <v>138</v>
      </c>
      <c r="AH41" s="1064"/>
      <c r="AI41" s="1064"/>
      <c r="AJ41" s="1064"/>
      <c r="AK41" s="1064"/>
      <c r="AL41" s="1064"/>
      <c r="AM41" s="1064"/>
      <c r="AO41" s="1069"/>
      <c r="AP41" s="1064"/>
      <c r="AQ41" s="1064"/>
      <c r="AR41" s="442" t="s">
        <v>128</v>
      </c>
      <c r="AS41" s="443">
        <v>23971.599852956602</v>
      </c>
      <c r="AT41" s="444">
        <v>46677.894049710121</v>
      </c>
      <c r="AU41" s="444">
        <v>44941.529736890458</v>
      </c>
      <c r="AV41" s="444">
        <v>25004.077816004319</v>
      </c>
      <c r="AW41" s="444">
        <v>51062.575092810475</v>
      </c>
      <c r="AX41" s="445">
        <v>53711.311045558301</v>
      </c>
      <c r="AY41" s="431"/>
    </row>
    <row r="42" spans="2:51" ht="15" thickBot="1" x14ac:dyDescent="0.35">
      <c r="B42" s="1069"/>
      <c r="C42" s="576" t="s">
        <v>153</v>
      </c>
      <c r="D42" s="579">
        <f>ROUND(103227.87912088,0)</f>
        <v>103228</v>
      </c>
      <c r="K42" s="1069"/>
      <c r="L42" s="1064"/>
      <c r="M42" s="1064"/>
      <c r="N42" s="1064"/>
      <c r="O42" s="1064"/>
      <c r="P42" s="442" t="s">
        <v>125</v>
      </c>
      <c r="Q42" s="443">
        <v>11348.807810080405</v>
      </c>
      <c r="R42" s="444">
        <v>82216.159209707563</v>
      </c>
      <c r="S42" s="445">
        <v>151079.91544067871</v>
      </c>
      <c r="V42" s="1070"/>
      <c r="W42" s="1065"/>
      <c r="X42" s="1065"/>
      <c r="Y42" s="446" t="s">
        <v>129</v>
      </c>
      <c r="Z42" s="447">
        <v>309551.99095598992</v>
      </c>
      <c r="AA42" s="448">
        <v>391522.47811444051</v>
      </c>
      <c r="AB42" s="448">
        <v>255145.39080807971</v>
      </c>
      <c r="AC42" s="448">
        <v>340620.53244661086</v>
      </c>
      <c r="AD42" s="448">
        <v>450016.74919342127</v>
      </c>
      <c r="AE42" s="449">
        <v>280372.79743940115</v>
      </c>
      <c r="AO42" s="1070"/>
      <c r="AP42" s="1065"/>
      <c r="AQ42" s="1065"/>
      <c r="AR42" s="446" t="s">
        <v>129</v>
      </c>
      <c r="AS42" s="447">
        <v>34041.542771899876</v>
      </c>
      <c r="AT42" s="448">
        <v>62803.767753498279</v>
      </c>
      <c r="AU42" s="448">
        <v>55856.119867089808</v>
      </c>
      <c r="AV42" s="448">
        <v>35676.803011431228</v>
      </c>
      <c r="AW42" s="448">
        <v>71523.184842937932</v>
      </c>
      <c r="AX42" s="449">
        <v>60694.025506051126</v>
      </c>
      <c r="AY42" s="431"/>
    </row>
    <row r="43" spans="2:51" ht="15.6" thickTop="1" thickBot="1" x14ac:dyDescent="0.35">
      <c r="B43" s="1070"/>
      <c r="C43" s="577" t="s">
        <v>154</v>
      </c>
      <c r="D43" s="580">
        <f>ROUND(185606.140390736,0)</f>
        <v>185606</v>
      </c>
      <c r="K43" s="1069"/>
      <c r="L43" s="1064"/>
      <c r="M43" s="1064"/>
      <c r="N43" s="1064"/>
      <c r="O43" s="1064"/>
      <c r="P43" s="442" t="s">
        <v>126</v>
      </c>
      <c r="Q43" s="443">
        <v>19479.635596877277</v>
      </c>
      <c r="R43" s="444">
        <v>111816.66233726856</v>
      </c>
      <c r="S43" s="445">
        <v>229207.70063437763</v>
      </c>
      <c r="AO43" s="1064" t="s">
        <v>138</v>
      </c>
      <c r="AP43" s="1064"/>
      <c r="AQ43" s="1064"/>
      <c r="AR43" s="1064"/>
      <c r="AS43" s="1064"/>
      <c r="AT43" s="1064"/>
      <c r="AU43" s="1064"/>
      <c r="AV43" s="1064"/>
      <c r="AW43" s="1064"/>
      <c r="AX43" s="1064"/>
      <c r="AY43" s="431"/>
    </row>
    <row r="44" spans="2:51" ht="15" thickTop="1" x14ac:dyDescent="0.3">
      <c r="B44" s="1064" t="s">
        <v>155</v>
      </c>
      <c r="C44" s="1064"/>
      <c r="D44" s="1064"/>
      <c r="K44" s="1069"/>
      <c r="L44" s="1064"/>
      <c r="M44" s="1064"/>
      <c r="N44" s="1064"/>
      <c r="O44" s="1064"/>
      <c r="P44" s="442" t="s">
        <v>127</v>
      </c>
      <c r="Q44" s="443">
        <v>19315.560760465098</v>
      </c>
      <c r="R44" s="444">
        <v>116768.38335795001</v>
      </c>
      <c r="S44" s="445">
        <v>254018.09609476943</v>
      </c>
      <c r="V44" s="581"/>
      <c r="W44" s="581"/>
      <c r="X44" s="581"/>
      <c r="Y44" s="581"/>
      <c r="Z44" s="581"/>
      <c r="AA44" s="581"/>
      <c r="AB44" s="581"/>
      <c r="AC44" s="581"/>
      <c r="AD44" s="581"/>
      <c r="AE44" s="581"/>
      <c r="AF44" s="431"/>
    </row>
    <row r="45" spans="2:51" x14ac:dyDescent="0.3">
      <c r="K45" s="1069"/>
      <c r="L45" s="1064"/>
      <c r="M45" s="1064"/>
      <c r="N45" s="1064"/>
      <c r="O45" s="1064"/>
      <c r="P45" s="442" t="s">
        <v>128</v>
      </c>
      <c r="Q45" s="443">
        <v>15327.783090931389</v>
      </c>
      <c r="R45" s="444">
        <v>104979.420839992</v>
      </c>
      <c r="S45" s="445">
        <v>158505.3660009061</v>
      </c>
      <c r="V45" s="581"/>
      <c r="W45" s="581"/>
      <c r="X45" s="581"/>
      <c r="Y45" s="581"/>
      <c r="Z45" s="581"/>
      <c r="AA45" s="581"/>
      <c r="AB45" s="581"/>
      <c r="AC45" s="581"/>
      <c r="AD45" s="581"/>
      <c r="AE45" s="581"/>
      <c r="AF45" s="431"/>
      <c r="AG45" s="581"/>
      <c r="AH45" s="431"/>
    </row>
    <row r="46" spans="2:51" x14ac:dyDescent="0.3">
      <c r="K46" s="1069"/>
      <c r="L46" s="1064"/>
      <c r="M46" s="1064"/>
      <c r="N46" s="1064"/>
      <c r="O46" s="1064"/>
      <c r="P46" s="442" t="s">
        <v>129</v>
      </c>
      <c r="Q46" s="443">
        <v>25660.742877243356</v>
      </c>
      <c r="R46" s="444">
        <v>130052.64817800972</v>
      </c>
      <c r="S46" s="445">
        <v>207427.56216261329</v>
      </c>
      <c r="V46" s="581"/>
      <c r="W46" s="581"/>
      <c r="X46" s="581"/>
      <c r="Y46" s="581"/>
      <c r="Z46" s="581"/>
      <c r="AA46" s="581"/>
      <c r="AB46" s="581"/>
      <c r="AC46" s="581"/>
      <c r="AD46" s="581"/>
      <c r="AE46" s="581"/>
      <c r="AF46" s="431"/>
      <c r="AG46" s="581"/>
      <c r="AH46" s="431"/>
    </row>
    <row r="47" spans="2:51" x14ac:dyDescent="0.3">
      <c r="K47" s="1069"/>
      <c r="L47" s="1064"/>
      <c r="M47" s="1064"/>
      <c r="N47" s="1064" t="s">
        <v>42</v>
      </c>
      <c r="O47" s="1064" t="s">
        <v>124</v>
      </c>
      <c r="P47" s="442" t="s">
        <v>122</v>
      </c>
      <c r="Q47" s="443">
        <v>16629.131545971541</v>
      </c>
      <c r="R47" s="444">
        <v>23902.321204145141</v>
      </c>
      <c r="S47" s="445">
        <v>14673.200670982873</v>
      </c>
      <c r="V47" s="581"/>
      <c r="W47" s="581"/>
      <c r="X47" s="581"/>
      <c r="Y47" s="581"/>
      <c r="Z47" s="583"/>
      <c r="AA47" s="583"/>
      <c r="AB47" s="583"/>
      <c r="AC47" s="583"/>
      <c r="AD47" s="583"/>
      <c r="AE47" s="583"/>
      <c r="AF47" s="431"/>
      <c r="AG47" s="581"/>
      <c r="AH47" s="431"/>
    </row>
    <row r="48" spans="2:51" x14ac:dyDescent="0.3">
      <c r="K48" s="1069"/>
      <c r="L48" s="1064"/>
      <c r="M48" s="1064"/>
      <c r="N48" s="1064"/>
      <c r="O48" s="1064"/>
      <c r="P48" s="442" t="s">
        <v>123</v>
      </c>
      <c r="Q48" s="443">
        <v>49925.961552587549</v>
      </c>
      <c r="R48" s="444">
        <v>92272.457548241116</v>
      </c>
      <c r="S48" s="445">
        <v>43082.594909860622</v>
      </c>
      <c r="V48" s="581"/>
      <c r="W48" s="581"/>
      <c r="X48" s="581"/>
      <c r="Y48" s="581"/>
      <c r="Z48" s="583"/>
      <c r="AA48" s="583"/>
      <c r="AB48" s="583"/>
      <c r="AC48" s="583"/>
      <c r="AD48" s="583"/>
      <c r="AE48" s="583"/>
      <c r="AF48" s="431"/>
      <c r="AG48" s="583"/>
      <c r="AH48" s="431"/>
    </row>
    <row r="49" spans="11:37" x14ac:dyDescent="0.3">
      <c r="K49" s="1069"/>
      <c r="L49" s="1064"/>
      <c r="M49" s="1064"/>
      <c r="N49" s="1064"/>
      <c r="O49" s="1064"/>
      <c r="P49" s="442" t="s">
        <v>125</v>
      </c>
      <c r="Q49" s="443">
        <v>49757.187632747584</v>
      </c>
      <c r="R49" s="444">
        <v>62562.655913099821</v>
      </c>
      <c r="S49" s="445">
        <v>31130.097646302842</v>
      </c>
      <c r="V49" s="582"/>
      <c r="W49" s="582"/>
      <c r="X49" s="582"/>
      <c r="Y49" s="584"/>
      <c r="Z49" s="585"/>
      <c r="AA49" s="585"/>
      <c r="AB49" s="585"/>
      <c r="AC49" s="585"/>
      <c r="AD49" s="585"/>
      <c r="AE49" s="585"/>
      <c r="AF49" s="431"/>
      <c r="AG49" s="586"/>
      <c r="AH49" s="586"/>
      <c r="AI49" s="586"/>
      <c r="AJ49" s="586"/>
      <c r="AK49" s="586"/>
    </row>
    <row r="50" spans="11:37" ht="15.75" customHeight="1" x14ac:dyDescent="0.3">
      <c r="K50" s="1069"/>
      <c r="L50" s="1064"/>
      <c r="M50" s="1064"/>
      <c r="N50" s="1064"/>
      <c r="O50" s="1064"/>
      <c r="P50" s="442" t="s">
        <v>126</v>
      </c>
      <c r="Q50" s="443">
        <v>67321.736054294262</v>
      </c>
      <c r="R50" s="444">
        <v>94579.930297422805</v>
      </c>
      <c r="S50" s="445">
        <v>48089.820430997177</v>
      </c>
      <c r="V50" s="582"/>
      <c r="W50" s="582"/>
      <c r="X50" s="582"/>
      <c r="Y50" s="584"/>
      <c r="Z50" s="585"/>
      <c r="AA50" s="585"/>
      <c r="AB50" s="585"/>
      <c r="AC50" s="585"/>
      <c r="AD50" s="585"/>
      <c r="AE50" s="585"/>
      <c r="AF50" s="431"/>
      <c r="AG50" s="586"/>
      <c r="AH50" s="586"/>
      <c r="AI50" s="586"/>
      <c r="AJ50" s="586"/>
      <c r="AK50" s="586"/>
    </row>
    <row r="51" spans="11:37" x14ac:dyDescent="0.3">
      <c r="K51" s="1069"/>
      <c r="L51" s="1064"/>
      <c r="M51" s="1064"/>
      <c r="N51" s="1064"/>
      <c r="O51" s="1064"/>
      <c r="P51" s="442" t="s">
        <v>127</v>
      </c>
      <c r="Q51" s="443">
        <v>84008.373788412689</v>
      </c>
      <c r="R51" s="444">
        <v>125967.6630310538</v>
      </c>
      <c r="S51" s="445">
        <v>55221.685606877407</v>
      </c>
      <c r="V51" s="582"/>
      <c r="W51" s="582"/>
      <c r="X51" s="582"/>
      <c r="Y51" s="584"/>
      <c r="Z51" s="585"/>
      <c r="AA51" s="585"/>
      <c r="AB51" s="585"/>
      <c r="AC51" s="585"/>
      <c r="AD51" s="585"/>
      <c r="AE51" s="585"/>
      <c r="AF51" s="431"/>
      <c r="AG51" s="586"/>
      <c r="AH51" s="586"/>
      <c r="AI51" s="586"/>
      <c r="AJ51" s="586"/>
      <c r="AK51" s="586"/>
    </row>
    <row r="52" spans="11:37" x14ac:dyDescent="0.3">
      <c r="K52" s="1069"/>
      <c r="L52" s="1064"/>
      <c r="M52" s="1064"/>
      <c r="N52" s="1064"/>
      <c r="O52" s="1064"/>
      <c r="P52" s="442" t="s">
        <v>128</v>
      </c>
      <c r="Q52" s="443">
        <v>82851.589454021843</v>
      </c>
      <c r="R52" s="444">
        <v>100384.26146007507</v>
      </c>
      <c r="S52" s="445">
        <v>42558.092295118942</v>
      </c>
      <c r="V52" s="582"/>
      <c r="W52" s="582"/>
      <c r="X52" s="582"/>
      <c r="Y52" s="584"/>
      <c r="Z52" s="585"/>
      <c r="AA52" s="585"/>
      <c r="AB52" s="585"/>
      <c r="AC52" s="585"/>
      <c r="AD52" s="585"/>
      <c r="AE52" s="585"/>
      <c r="AF52" s="431"/>
      <c r="AG52" s="586"/>
      <c r="AH52" s="586"/>
      <c r="AI52" s="586"/>
      <c r="AJ52" s="586"/>
      <c r="AK52" s="586"/>
    </row>
    <row r="53" spans="11:37" x14ac:dyDescent="0.3">
      <c r="K53" s="1069"/>
      <c r="L53" s="1064"/>
      <c r="M53" s="1064"/>
      <c r="N53" s="1064"/>
      <c r="O53" s="1064"/>
      <c r="P53" s="442" t="s">
        <v>129</v>
      </c>
      <c r="Q53" s="443">
        <v>115197.57983681787</v>
      </c>
      <c r="R53" s="444">
        <v>147672.78176265303</v>
      </c>
      <c r="S53" s="445">
        <v>45415.266266343315</v>
      </c>
      <c r="V53" s="582"/>
      <c r="W53" s="582"/>
      <c r="X53" s="582"/>
      <c r="Y53" s="584"/>
      <c r="Z53" s="585"/>
      <c r="AA53" s="585"/>
      <c r="AB53" s="585"/>
      <c r="AC53" s="585"/>
      <c r="AD53" s="585"/>
      <c r="AE53" s="585"/>
      <c r="AF53" s="431"/>
      <c r="AG53" s="586"/>
      <c r="AH53" s="586"/>
      <c r="AI53" s="586"/>
      <c r="AJ53" s="586"/>
      <c r="AK53" s="586"/>
    </row>
    <row r="54" spans="11:37" x14ac:dyDescent="0.3">
      <c r="K54" s="1069"/>
      <c r="L54" s="1064" t="s">
        <v>115</v>
      </c>
      <c r="M54" s="1064" t="s">
        <v>130</v>
      </c>
      <c r="N54" s="1064" t="s">
        <v>43</v>
      </c>
      <c r="O54" s="1064" t="s">
        <v>124</v>
      </c>
      <c r="P54" s="442" t="s">
        <v>122</v>
      </c>
      <c r="Q54" s="443">
        <v>4326.4654559202081</v>
      </c>
      <c r="R54" s="444">
        <v>30550.384822918113</v>
      </c>
      <c r="S54" s="445">
        <v>86412.220779909359</v>
      </c>
      <c r="V54" s="582"/>
      <c r="W54" s="582"/>
      <c r="X54" s="582"/>
      <c r="Y54" s="584"/>
      <c r="Z54" s="585"/>
      <c r="AA54" s="585"/>
      <c r="AB54" s="585"/>
      <c r="AC54" s="585"/>
      <c r="AD54" s="585"/>
      <c r="AE54" s="585"/>
      <c r="AF54" s="431"/>
      <c r="AG54" s="586"/>
      <c r="AH54" s="586"/>
      <c r="AI54" s="586"/>
      <c r="AJ54" s="586"/>
      <c r="AK54" s="586"/>
    </row>
    <row r="55" spans="11:37" ht="15.75" customHeight="1" x14ac:dyDescent="0.3">
      <c r="K55" s="1069"/>
      <c r="L55" s="1064"/>
      <c r="M55" s="1064"/>
      <c r="N55" s="1064"/>
      <c r="O55" s="1064"/>
      <c r="P55" s="442" t="s">
        <v>123</v>
      </c>
      <c r="Q55" s="443">
        <v>16465.963405424845</v>
      </c>
      <c r="R55" s="444">
        <v>84885.408479389429</v>
      </c>
      <c r="S55" s="445">
        <v>273701.66421412048</v>
      </c>
      <c r="V55" s="582"/>
      <c r="W55" s="582"/>
      <c r="X55" s="582"/>
      <c r="Y55" s="584"/>
      <c r="Z55" s="585"/>
      <c r="AA55" s="585"/>
      <c r="AB55" s="585"/>
      <c r="AC55" s="585"/>
      <c r="AD55" s="585"/>
      <c r="AE55" s="585"/>
      <c r="AF55" s="431"/>
      <c r="AG55" s="586"/>
      <c r="AH55" s="586"/>
      <c r="AI55" s="586"/>
      <c r="AJ55" s="586"/>
      <c r="AK55" s="586"/>
    </row>
    <row r="56" spans="11:37" x14ac:dyDescent="0.3">
      <c r="K56" s="1069"/>
      <c r="L56" s="1064"/>
      <c r="M56" s="1064"/>
      <c r="N56" s="1064"/>
      <c r="O56" s="1064"/>
      <c r="P56" s="442" t="s">
        <v>125</v>
      </c>
      <c r="Q56" s="443">
        <v>14948.458461109976</v>
      </c>
      <c r="R56" s="444">
        <v>70366.496377607051</v>
      </c>
      <c r="S56" s="445">
        <v>189742.06309213708</v>
      </c>
      <c r="V56" s="582"/>
      <c r="W56" s="582"/>
      <c r="X56" s="582"/>
      <c r="Y56" s="584"/>
      <c r="Z56" s="585"/>
      <c r="AA56" s="585"/>
      <c r="AB56" s="585"/>
      <c r="AC56" s="585"/>
      <c r="AD56" s="585"/>
      <c r="AE56" s="585"/>
      <c r="AF56" s="431"/>
      <c r="AG56" s="586"/>
      <c r="AH56" s="586"/>
      <c r="AI56" s="586"/>
      <c r="AJ56" s="586"/>
      <c r="AK56" s="586"/>
    </row>
    <row r="57" spans="11:37" x14ac:dyDescent="0.3">
      <c r="K57" s="1069"/>
      <c r="L57" s="1064"/>
      <c r="M57" s="1064"/>
      <c r="N57" s="1064"/>
      <c r="O57" s="1064"/>
      <c r="P57" s="442" t="s">
        <v>126</v>
      </c>
      <c r="Q57" s="443">
        <v>20245.509132107116</v>
      </c>
      <c r="R57" s="444">
        <v>140725.38132226645</v>
      </c>
      <c r="S57" s="445">
        <v>295561.93650294241</v>
      </c>
      <c r="V57" s="582"/>
      <c r="W57" s="582"/>
      <c r="X57" s="582"/>
      <c r="Y57" s="584"/>
      <c r="Z57" s="585"/>
      <c r="AA57" s="585"/>
      <c r="AB57" s="585"/>
      <c r="AC57" s="585"/>
      <c r="AD57" s="585"/>
      <c r="AE57" s="585"/>
      <c r="AF57" s="431"/>
      <c r="AG57" s="586"/>
      <c r="AH57" s="586"/>
      <c r="AI57" s="586"/>
      <c r="AJ57" s="586"/>
      <c r="AK57" s="586"/>
    </row>
    <row r="58" spans="11:37" x14ac:dyDescent="0.3">
      <c r="K58" s="1069"/>
      <c r="L58" s="1064"/>
      <c r="M58" s="1064"/>
      <c r="N58" s="1064"/>
      <c r="O58" s="1064"/>
      <c r="P58" s="442" t="s">
        <v>127</v>
      </c>
      <c r="Q58" s="443">
        <v>18730.883245174682</v>
      </c>
      <c r="R58" s="444">
        <v>127060.43268037357</v>
      </c>
      <c r="S58" s="445">
        <v>315811.73769039015</v>
      </c>
      <c r="V58" s="582"/>
      <c r="W58" s="582"/>
      <c r="X58" s="582"/>
      <c r="Y58" s="584"/>
      <c r="Z58" s="585"/>
      <c r="AA58" s="585"/>
      <c r="AB58" s="585"/>
      <c r="AC58" s="585"/>
      <c r="AD58" s="585"/>
      <c r="AE58" s="585"/>
      <c r="AF58" s="431"/>
      <c r="AG58" s="586"/>
      <c r="AH58" s="586"/>
      <c r="AI58" s="586"/>
      <c r="AJ58" s="586"/>
      <c r="AK58" s="586"/>
    </row>
    <row r="59" spans="11:37" x14ac:dyDescent="0.3">
      <c r="K59" s="1069"/>
      <c r="L59" s="1064"/>
      <c r="M59" s="1064"/>
      <c r="N59" s="1064"/>
      <c r="O59" s="1064"/>
      <c r="P59" s="442" t="s">
        <v>128</v>
      </c>
      <c r="Q59" s="443">
        <v>35636.417785226171</v>
      </c>
      <c r="R59" s="444">
        <v>125090.0096342332</v>
      </c>
      <c r="S59" s="445">
        <v>253642.79978873153</v>
      </c>
      <c r="V59" s="582"/>
      <c r="W59" s="582"/>
      <c r="X59" s="582"/>
      <c r="Y59" s="584"/>
      <c r="Z59" s="585"/>
      <c r="AA59" s="585"/>
      <c r="AB59" s="585"/>
      <c r="AC59" s="585"/>
      <c r="AD59" s="585"/>
      <c r="AE59" s="585"/>
      <c r="AF59" s="431"/>
      <c r="AG59" s="586"/>
      <c r="AH59" s="586"/>
      <c r="AI59" s="586"/>
      <c r="AJ59" s="586"/>
      <c r="AK59" s="586"/>
    </row>
    <row r="60" spans="11:37" x14ac:dyDescent="0.3">
      <c r="K60" s="1069"/>
      <c r="L60" s="1064"/>
      <c r="M60" s="1064"/>
      <c r="N60" s="1064"/>
      <c r="O60" s="1064"/>
      <c r="P60" s="442" t="s">
        <v>129</v>
      </c>
      <c r="Q60" s="443">
        <v>44745.94085226969</v>
      </c>
      <c r="R60" s="444">
        <v>166177.42453995103</v>
      </c>
      <c r="S60" s="445">
        <v>261001.38433161002</v>
      </c>
      <c r="V60" s="582"/>
      <c r="W60" s="582"/>
      <c r="X60" s="582"/>
      <c r="Y60" s="584"/>
      <c r="Z60" s="585"/>
      <c r="AA60" s="585"/>
      <c r="AB60" s="585"/>
      <c r="AC60" s="585"/>
      <c r="AD60" s="585"/>
      <c r="AE60" s="585"/>
      <c r="AF60" s="431"/>
      <c r="AG60" s="586"/>
      <c r="AH60" s="586"/>
      <c r="AI60" s="586"/>
      <c r="AJ60" s="586"/>
      <c r="AK60" s="586"/>
    </row>
    <row r="61" spans="11:37" x14ac:dyDescent="0.3">
      <c r="K61" s="1069"/>
      <c r="L61" s="1064"/>
      <c r="M61" s="1064"/>
      <c r="N61" s="1064" t="s">
        <v>42</v>
      </c>
      <c r="O61" s="1064" t="s">
        <v>124</v>
      </c>
      <c r="P61" s="442" t="s">
        <v>122</v>
      </c>
      <c r="Q61" s="443">
        <v>58519.894126861109</v>
      </c>
      <c r="R61" s="444">
        <v>118459.67250427093</v>
      </c>
      <c r="S61" s="445">
        <v>100440.72069996042</v>
      </c>
      <c r="V61" s="582"/>
      <c r="W61" s="582"/>
      <c r="X61" s="582"/>
      <c r="Y61" s="584"/>
      <c r="Z61" s="585"/>
      <c r="AA61" s="585"/>
      <c r="AB61" s="585"/>
      <c r="AC61" s="585"/>
      <c r="AD61" s="585"/>
      <c r="AE61" s="585"/>
      <c r="AF61" s="431"/>
      <c r="AG61" s="586"/>
      <c r="AH61" s="586"/>
      <c r="AI61" s="586"/>
      <c r="AJ61" s="586"/>
      <c r="AK61" s="586"/>
    </row>
    <row r="62" spans="11:37" x14ac:dyDescent="0.3">
      <c r="K62" s="1069"/>
      <c r="L62" s="1064"/>
      <c r="M62" s="1064"/>
      <c r="N62" s="1064"/>
      <c r="O62" s="1064"/>
      <c r="P62" s="442" t="s">
        <v>123</v>
      </c>
      <c r="Q62" s="443">
        <v>219247.20779664241</v>
      </c>
      <c r="R62" s="444">
        <v>431943.39731009648</v>
      </c>
      <c r="S62" s="445">
        <v>324665.18221424002</v>
      </c>
      <c r="V62" s="582"/>
      <c r="W62" s="582"/>
      <c r="X62" s="582"/>
      <c r="Y62" s="584"/>
      <c r="Z62" s="585"/>
      <c r="AA62" s="585"/>
      <c r="AB62" s="585"/>
      <c r="AC62" s="585"/>
      <c r="AD62" s="585"/>
      <c r="AE62" s="585"/>
      <c r="AF62" s="431"/>
      <c r="AG62" s="586"/>
      <c r="AH62" s="586"/>
      <c r="AI62" s="586"/>
      <c r="AJ62" s="586"/>
      <c r="AK62" s="586"/>
    </row>
    <row r="63" spans="11:37" x14ac:dyDescent="0.3">
      <c r="K63" s="1069"/>
      <c r="L63" s="1064"/>
      <c r="M63" s="1064"/>
      <c r="N63" s="1064"/>
      <c r="O63" s="1064"/>
      <c r="P63" s="442" t="s">
        <v>125</v>
      </c>
      <c r="Q63" s="443">
        <v>174910.7396837624</v>
      </c>
      <c r="R63" s="444">
        <v>364894.55953301763</v>
      </c>
      <c r="S63" s="445">
        <v>221447.78151449622</v>
      </c>
      <c r="V63" s="582"/>
      <c r="W63" s="582"/>
      <c r="X63" s="582"/>
      <c r="Y63" s="582"/>
      <c r="Z63" s="582"/>
      <c r="AA63" s="582"/>
      <c r="AB63" s="582"/>
      <c r="AC63" s="582"/>
      <c r="AD63" s="582"/>
      <c r="AE63" s="582"/>
      <c r="AF63" s="431"/>
      <c r="AG63" s="585"/>
      <c r="AH63" s="431"/>
    </row>
    <row r="64" spans="11:37" x14ac:dyDescent="0.3">
      <c r="K64" s="1069"/>
      <c r="L64" s="1064"/>
      <c r="M64" s="1064"/>
      <c r="N64" s="1064"/>
      <c r="O64" s="1064"/>
      <c r="P64" s="442" t="s">
        <v>126</v>
      </c>
      <c r="Q64" s="443">
        <v>263242.8168023192</v>
      </c>
      <c r="R64" s="444">
        <v>461239.94982554211</v>
      </c>
      <c r="S64" s="445">
        <v>306719.94792949577</v>
      </c>
      <c r="V64" s="582"/>
      <c r="W64" s="582"/>
      <c r="X64" s="582"/>
      <c r="Y64" s="582"/>
      <c r="Z64" s="582"/>
      <c r="AA64" s="584"/>
      <c r="AB64" s="585"/>
      <c r="AC64" s="585"/>
      <c r="AD64" s="585"/>
      <c r="AE64" s="585"/>
      <c r="AF64" s="585"/>
      <c r="AG64" s="585"/>
      <c r="AH64" s="431"/>
    </row>
    <row r="65" spans="11:34" x14ac:dyDescent="0.3">
      <c r="K65" s="1069"/>
      <c r="L65" s="1064"/>
      <c r="M65" s="1064"/>
      <c r="N65" s="1064"/>
      <c r="O65" s="1064"/>
      <c r="P65" s="442" t="s">
        <v>127</v>
      </c>
      <c r="Q65" s="443">
        <v>377488.48941278202</v>
      </c>
      <c r="R65" s="444">
        <v>609909.79554853099</v>
      </c>
      <c r="S65" s="445">
        <v>422807.89939251286</v>
      </c>
      <c r="V65" s="582"/>
      <c r="W65" s="582"/>
      <c r="X65" s="582"/>
      <c r="Y65" s="582"/>
      <c r="Z65" s="582"/>
      <c r="AA65" s="584"/>
      <c r="AB65" s="585"/>
      <c r="AC65" s="585"/>
      <c r="AD65" s="585"/>
      <c r="AE65" s="585"/>
      <c r="AF65" s="585"/>
      <c r="AG65" s="585"/>
      <c r="AH65" s="431"/>
    </row>
    <row r="66" spans="11:34" x14ac:dyDescent="0.3">
      <c r="K66" s="1069"/>
      <c r="L66" s="1064"/>
      <c r="M66" s="1064"/>
      <c r="N66" s="1064"/>
      <c r="O66" s="1064"/>
      <c r="P66" s="442" t="s">
        <v>128</v>
      </c>
      <c r="Q66" s="443">
        <v>339182.74714228575</v>
      </c>
      <c r="R66" s="444">
        <v>510701.90724532516</v>
      </c>
      <c r="S66" s="445">
        <v>284463.31640357693</v>
      </c>
      <c r="V66" s="582"/>
      <c r="W66" s="582"/>
      <c r="X66" s="582"/>
      <c r="Y66" s="582"/>
      <c r="Z66" s="582"/>
      <c r="AA66" s="584"/>
      <c r="AB66" s="585"/>
      <c r="AC66" s="585"/>
      <c r="AD66" s="585"/>
      <c r="AE66" s="585"/>
      <c r="AF66" s="585"/>
      <c r="AG66" s="585"/>
      <c r="AH66" s="431"/>
    </row>
    <row r="67" spans="11:34" ht="15" thickBot="1" x14ac:dyDescent="0.35">
      <c r="K67" s="1070"/>
      <c r="L67" s="1065"/>
      <c r="M67" s="1065"/>
      <c r="N67" s="1065"/>
      <c r="O67" s="1065"/>
      <c r="P67" s="446" t="s">
        <v>129</v>
      </c>
      <c r="Q67" s="447">
        <v>605426.5825503323</v>
      </c>
      <c r="R67" s="448">
        <v>675361.80276791251</v>
      </c>
      <c r="S67" s="449">
        <v>274516.80391587073</v>
      </c>
      <c r="V67" s="582"/>
      <c r="W67" s="582"/>
      <c r="X67" s="582"/>
      <c r="Y67" s="582"/>
      <c r="Z67" s="582"/>
      <c r="AA67" s="584"/>
      <c r="AB67" s="585"/>
      <c r="AC67" s="585"/>
      <c r="AD67" s="585"/>
      <c r="AE67" s="585"/>
      <c r="AF67" s="585"/>
      <c r="AG67" s="585"/>
      <c r="AH67" s="431"/>
    </row>
    <row r="68" spans="11:34" ht="15" thickTop="1" x14ac:dyDescent="0.3">
      <c r="K68" s="1064" t="s">
        <v>138</v>
      </c>
      <c r="L68" s="1064"/>
      <c r="M68" s="1064"/>
      <c r="N68" s="1064"/>
      <c r="O68" s="1064"/>
      <c r="P68" s="1064"/>
      <c r="Q68" s="1064"/>
      <c r="R68" s="1064"/>
      <c r="S68" s="1064"/>
      <c r="V68" s="582"/>
      <c r="W68" s="582"/>
      <c r="X68" s="582"/>
      <c r="Y68" s="582"/>
      <c r="Z68" s="582"/>
      <c r="AA68" s="584"/>
      <c r="AB68" s="585"/>
      <c r="AC68" s="585"/>
      <c r="AD68" s="585"/>
      <c r="AE68" s="585"/>
      <c r="AF68" s="585"/>
      <c r="AG68" s="585"/>
      <c r="AH68" s="431"/>
    </row>
    <row r="69" spans="11:34" x14ac:dyDescent="0.3">
      <c r="V69" s="582"/>
      <c r="W69" s="582"/>
      <c r="X69" s="582"/>
      <c r="Y69" s="582"/>
      <c r="Z69" s="582"/>
      <c r="AA69" s="584"/>
      <c r="AB69" s="585"/>
      <c r="AC69" s="585"/>
      <c r="AD69" s="585"/>
      <c r="AE69" s="585"/>
      <c r="AF69" s="585"/>
      <c r="AG69" s="585"/>
      <c r="AH69" s="431"/>
    </row>
    <row r="70" spans="11:34" x14ac:dyDescent="0.3">
      <c r="V70" s="582"/>
      <c r="W70" s="582"/>
      <c r="X70" s="582"/>
      <c r="Y70" s="582"/>
      <c r="Z70" s="582"/>
      <c r="AA70" s="584"/>
      <c r="AB70" s="585"/>
      <c r="AC70" s="585"/>
      <c r="AD70" s="585"/>
      <c r="AE70" s="585"/>
      <c r="AF70" s="585"/>
      <c r="AG70" s="585"/>
      <c r="AH70" s="431"/>
    </row>
    <row r="71" spans="11:34" x14ac:dyDescent="0.3">
      <c r="V71" s="582"/>
      <c r="W71" s="582"/>
      <c r="X71" s="582"/>
      <c r="Y71" s="582"/>
      <c r="Z71" s="582"/>
      <c r="AA71" s="584"/>
      <c r="AB71" s="585"/>
      <c r="AC71" s="585"/>
      <c r="AD71" s="585"/>
      <c r="AE71" s="585"/>
      <c r="AF71" s="585"/>
      <c r="AG71" s="585"/>
      <c r="AH71" s="431"/>
    </row>
    <row r="72" spans="11:34" x14ac:dyDescent="0.3">
      <c r="V72" s="582"/>
      <c r="W72" s="582"/>
      <c r="X72" s="582"/>
      <c r="Y72" s="582"/>
      <c r="Z72" s="582"/>
      <c r="AA72" s="584"/>
      <c r="AB72" s="585"/>
      <c r="AC72" s="585"/>
      <c r="AD72" s="585"/>
      <c r="AE72" s="585"/>
      <c r="AF72" s="585"/>
      <c r="AG72" s="585"/>
      <c r="AH72" s="431"/>
    </row>
    <row r="73" spans="11:34" x14ac:dyDescent="0.3">
      <c r="V73" s="582"/>
      <c r="W73" s="582"/>
      <c r="X73" s="582"/>
      <c r="Y73" s="582"/>
      <c r="Z73" s="582"/>
      <c r="AA73" s="584"/>
      <c r="AB73" s="585"/>
      <c r="AC73" s="585"/>
      <c r="AD73" s="585"/>
      <c r="AE73" s="585"/>
      <c r="AF73" s="585"/>
      <c r="AG73" s="585"/>
      <c r="AH73" s="431"/>
    </row>
    <row r="74" spans="11:34" x14ac:dyDescent="0.3">
      <c r="V74" s="582"/>
      <c r="W74" s="582"/>
      <c r="X74" s="582"/>
      <c r="Y74" s="582"/>
      <c r="Z74" s="582"/>
      <c r="AA74" s="584"/>
      <c r="AB74" s="585"/>
      <c r="AC74" s="585"/>
      <c r="AD74" s="585"/>
      <c r="AE74" s="585"/>
      <c r="AF74" s="585"/>
      <c r="AG74" s="585"/>
      <c r="AH74" s="431"/>
    </row>
    <row r="75" spans="11:34" x14ac:dyDescent="0.3">
      <c r="V75" s="582"/>
      <c r="W75" s="582"/>
      <c r="X75" s="582"/>
      <c r="Y75" s="582"/>
      <c r="Z75" s="582"/>
      <c r="AA75" s="584"/>
      <c r="AB75" s="585"/>
      <c r="AC75" s="585"/>
      <c r="AD75" s="585"/>
      <c r="AE75" s="585"/>
      <c r="AF75" s="585"/>
      <c r="AG75" s="585"/>
      <c r="AH75" s="431"/>
    </row>
    <row r="76" spans="11:34" x14ac:dyDescent="0.3">
      <c r="V76" s="582"/>
      <c r="W76" s="582"/>
      <c r="X76" s="582"/>
      <c r="Y76" s="582"/>
      <c r="Z76" s="582"/>
      <c r="AA76" s="584"/>
      <c r="AB76" s="585"/>
      <c r="AC76" s="585"/>
      <c r="AD76" s="585"/>
      <c r="AE76" s="585"/>
      <c r="AF76" s="585"/>
      <c r="AG76" s="585"/>
      <c r="AH76" s="431"/>
    </row>
    <row r="77" spans="11:34" x14ac:dyDescent="0.3">
      <c r="V77" s="582"/>
      <c r="W77" s="582"/>
      <c r="X77" s="582"/>
      <c r="Y77" s="582"/>
      <c r="Z77" s="582"/>
      <c r="AA77" s="584"/>
      <c r="AB77" s="585"/>
      <c r="AC77" s="585"/>
      <c r="AD77" s="585"/>
      <c r="AE77" s="585"/>
      <c r="AF77" s="585"/>
      <c r="AG77" s="585"/>
      <c r="AH77" s="431"/>
    </row>
    <row r="78" spans="11:34" x14ac:dyDescent="0.3">
      <c r="V78" s="582"/>
      <c r="W78" s="582"/>
      <c r="X78" s="582"/>
      <c r="Y78" s="582"/>
      <c r="Z78" s="582"/>
      <c r="AA78" s="584"/>
      <c r="AB78" s="585"/>
      <c r="AC78" s="585"/>
      <c r="AD78" s="585"/>
      <c r="AE78" s="44"/>
      <c r="AF78" s="44"/>
      <c r="AG78" s="44"/>
    </row>
    <row r="79" spans="11:34" x14ac:dyDescent="0.3">
      <c r="AE79" s="44"/>
      <c r="AF79" s="44"/>
      <c r="AG79" s="44"/>
    </row>
    <row r="80" spans="11:34" x14ac:dyDescent="0.3">
      <c r="AE80" s="44"/>
      <c r="AF80" s="44"/>
      <c r="AG80" s="44"/>
    </row>
  </sheetData>
  <mergeCells count="122">
    <mergeCell ref="Z24:AE24"/>
    <mergeCell ref="Z25:AB25"/>
    <mergeCell ref="AP36:AP42"/>
    <mergeCell ref="AQ36:AQ42"/>
    <mergeCell ref="AO7:AO20"/>
    <mergeCell ref="AP7:AP13"/>
    <mergeCell ref="AQ7:AQ13"/>
    <mergeCell ref="AP14:AP20"/>
    <mergeCell ref="AQ14:AQ20"/>
    <mergeCell ref="AO21:AX21"/>
    <mergeCell ref="AG19:AM19"/>
    <mergeCell ref="AG24:AJ26"/>
    <mergeCell ref="AK24:AM24"/>
    <mergeCell ref="AO2:AR6"/>
    <mergeCell ref="AS2:AX2"/>
    <mergeCell ref="AS3:AU3"/>
    <mergeCell ref="AV3:AX3"/>
    <mergeCell ref="AS4:AU4"/>
    <mergeCell ref="AV4:AX4"/>
    <mergeCell ref="AG2:AJ4"/>
    <mergeCell ref="AK2:AM2"/>
    <mergeCell ref="AG5:AG18"/>
    <mergeCell ref="AH5:AH11"/>
    <mergeCell ref="AI5:AI11"/>
    <mergeCell ref="AH12:AH18"/>
    <mergeCell ref="AI12:AI18"/>
    <mergeCell ref="K68:S68"/>
    <mergeCell ref="V24:Y28"/>
    <mergeCell ref="L54:L67"/>
    <mergeCell ref="M54:M67"/>
    <mergeCell ref="N54:N60"/>
    <mergeCell ref="O54:O60"/>
    <mergeCell ref="N61:N67"/>
    <mergeCell ref="O61:O67"/>
    <mergeCell ref="AO43:AX43"/>
    <mergeCell ref="AG41:AM41"/>
    <mergeCell ref="AG27:AG40"/>
    <mergeCell ref="AH27:AH33"/>
    <mergeCell ref="AI27:AI33"/>
    <mergeCell ref="AH34:AH40"/>
    <mergeCell ref="AI34:AI40"/>
    <mergeCell ref="AO24:AR28"/>
    <mergeCell ref="AS24:AX24"/>
    <mergeCell ref="AS25:AU25"/>
    <mergeCell ref="AV25:AX25"/>
    <mergeCell ref="AS26:AU26"/>
    <mergeCell ref="AV26:AX26"/>
    <mergeCell ref="AO29:AO42"/>
    <mergeCell ref="AP29:AP35"/>
    <mergeCell ref="AQ29:AQ35"/>
    <mergeCell ref="A15:A22"/>
    <mergeCell ref="AC25:AE25"/>
    <mergeCell ref="Z26:AB26"/>
    <mergeCell ref="AC26:AE26"/>
    <mergeCell ref="V29:V42"/>
    <mergeCell ref="W29:W35"/>
    <mergeCell ref="X29:X35"/>
    <mergeCell ref="N47:N53"/>
    <mergeCell ref="O47:O53"/>
    <mergeCell ref="W36:W42"/>
    <mergeCell ref="X36:X42"/>
    <mergeCell ref="K37:P39"/>
    <mergeCell ref="Q37:S37"/>
    <mergeCell ref="B36:C36"/>
    <mergeCell ref="B37:B43"/>
    <mergeCell ref="B44:D44"/>
    <mergeCell ref="K40:K67"/>
    <mergeCell ref="L40:L53"/>
    <mergeCell ref="M40:M53"/>
    <mergeCell ref="N40:N46"/>
    <mergeCell ref="O40:O46"/>
    <mergeCell ref="N26:N32"/>
    <mergeCell ref="O26:O32"/>
    <mergeCell ref="K33:S33"/>
    <mergeCell ref="L19:L32"/>
    <mergeCell ref="M19:M32"/>
    <mergeCell ref="N19:N25"/>
    <mergeCell ref="O19:O25"/>
    <mergeCell ref="A2:D6"/>
    <mergeCell ref="E2:G2"/>
    <mergeCell ref="E3:G3"/>
    <mergeCell ref="E4:G4"/>
    <mergeCell ref="C19:C20"/>
    <mergeCell ref="C21:C22"/>
    <mergeCell ref="A23:G23"/>
    <mergeCell ref="A26:B30"/>
    <mergeCell ref="C26:E26"/>
    <mergeCell ref="C27:E27"/>
    <mergeCell ref="C28:E28"/>
    <mergeCell ref="A31:A32"/>
    <mergeCell ref="K2:P4"/>
    <mergeCell ref="A7:A10"/>
    <mergeCell ref="B7:B8"/>
    <mergeCell ref="C7:C8"/>
    <mergeCell ref="B9:B10"/>
    <mergeCell ref="C9:C10"/>
    <mergeCell ref="A12:D14"/>
    <mergeCell ref="E12:G12"/>
    <mergeCell ref="B15:B18"/>
    <mergeCell ref="C15:C16"/>
    <mergeCell ref="C17:C18"/>
    <mergeCell ref="B19:B22"/>
    <mergeCell ref="V21:AE21"/>
    <mergeCell ref="AC4:AE4"/>
    <mergeCell ref="V7:V20"/>
    <mergeCell ref="W7:W13"/>
    <mergeCell ref="X7:X13"/>
    <mergeCell ref="W14:W20"/>
    <mergeCell ref="X14:X20"/>
    <mergeCell ref="V2:Y6"/>
    <mergeCell ref="Z2:AE2"/>
    <mergeCell ref="Z3:AB3"/>
    <mergeCell ref="AC3:AE3"/>
    <mergeCell ref="Z4:AB4"/>
    <mergeCell ref="Q2:S2"/>
    <mergeCell ref="K5:K32"/>
    <mergeCell ref="L5:L18"/>
    <mergeCell ref="M5:M18"/>
    <mergeCell ref="N5:N11"/>
    <mergeCell ref="O5:O11"/>
    <mergeCell ref="N12:N18"/>
    <mergeCell ref="O12:O18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F0000"/>
  </sheetPr>
  <dimension ref="A1:AE32"/>
  <sheetViews>
    <sheetView topLeftCell="J1" workbookViewId="0">
      <selection sqref="A1:XFD1048576"/>
    </sheetView>
  </sheetViews>
  <sheetFormatPr baseColWidth="10" defaultRowHeight="14.4" x14ac:dyDescent="0.3"/>
  <cols>
    <col min="1" max="1" width="29" customWidth="1"/>
    <col min="2" max="5" width="10.5546875" bestFit="1" customWidth="1"/>
    <col min="6" max="6" width="10.109375" bestFit="1" customWidth="1"/>
    <col min="7" max="12" width="10.5546875" bestFit="1" customWidth="1"/>
    <col min="13" max="14" width="11.88671875" bestFit="1" customWidth="1"/>
    <col min="15" max="15" width="10.5546875" bestFit="1" customWidth="1"/>
    <col min="17" max="17" width="28.44140625" customWidth="1"/>
  </cols>
  <sheetData>
    <row r="1" spans="1:31" ht="16.5" customHeight="1" x14ac:dyDescent="0.3">
      <c r="A1" s="522"/>
      <c r="B1" s="1132" t="s">
        <v>0</v>
      </c>
      <c r="C1" s="1133"/>
      <c r="D1" s="1133"/>
      <c r="E1" s="1134"/>
      <c r="F1" s="1135" t="s">
        <v>1</v>
      </c>
      <c r="G1" s="1136"/>
      <c r="H1" s="1136"/>
      <c r="I1" s="1137"/>
      <c r="J1" s="1129" t="s">
        <v>2</v>
      </c>
      <c r="K1" s="1130"/>
      <c r="L1" s="1130"/>
      <c r="M1" s="1131"/>
      <c r="N1" s="555" t="s">
        <v>3</v>
      </c>
      <c r="O1" s="517" t="s">
        <v>4</v>
      </c>
      <c r="Q1" s="522"/>
      <c r="R1" s="1132" t="s">
        <v>0</v>
      </c>
      <c r="S1" s="1133"/>
      <c r="T1" s="1133"/>
      <c r="U1" s="1134"/>
      <c r="V1" s="1135" t="s">
        <v>1</v>
      </c>
      <c r="W1" s="1136"/>
      <c r="X1" s="1136"/>
      <c r="Y1" s="1137"/>
      <c r="Z1" s="1129" t="s">
        <v>2</v>
      </c>
      <c r="AA1" s="1130"/>
      <c r="AB1" s="1130"/>
      <c r="AC1" s="1131"/>
      <c r="AD1" s="555" t="s">
        <v>3</v>
      </c>
      <c r="AE1" s="517" t="s">
        <v>4</v>
      </c>
    </row>
    <row r="2" spans="1:31" ht="16.2" thickBot="1" x14ac:dyDescent="0.35">
      <c r="A2" s="523"/>
      <c r="B2" s="528" t="s">
        <v>5</v>
      </c>
      <c r="C2" s="518" t="s">
        <v>6</v>
      </c>
      <c r="D2" s="518" t="s">
        <v>7</v>
      </c>
      <c r="E2" s="534" t="s">
        <v>8</v>
      </c>
      <c r="F2" s="537" t="s">
        <v>5</v>
      </c>
      <c r="G2" s="519" t="s">
        <v>6</v>
      </c>
      <c r="H2" s="519" t="s">
        <v>7</v>
      </c>
      <c r="I2" s="538" t="s">
        <v>8</v>
      </c>
      <c r="J2" s="546" t="s">
        <v>5</v>
      </c>
      <c r="K2" s="520" t="s">
        <v>6</v>
      </c>
      <c r="L2" s="520" t="s">
        <v>7</v>
      </c>
      <c r="M2" s="547" t="s">
        <v>8</v>
      </c>
      <c r="N2" s="556" t="s">
        <v>8</v>
      </c>
      <c r="O2" s="521" t="s">
        <v>8</v>
      </c>
      <c r="Q2" s="523"/>
      <c r="R2" s="528" t="s">
        <v>5</v>
      </c>
      <c r="S2" s="518" t="s">
        <v>6</v>
      </c>
      <c r="T2" s="518" t="s">
        <v>7</v>
      </c>
      <c r="U2" s="534" t="s">
        <v>8</v>
      </c>
      <c r="V2" s="537" t="s">
        <v>5</v>
      </c>
      <c r="W2" s="519" t="s">
        <v>6</v>
      </c>
      <c r="X2" s="519" t="s">
        <v>7</v>
      </c>
      <c r="Y2" s="538" t="s">
        <v>8</v>
      </c>
      <c r="Z2" s="546" t="s">
        <v>5</v>
      </c>
      <c r="AA2" s="520" t="s">
        <v>6</v>
      </c>
      <c r="AB2" s="520" t="s">
        <v>7</v>
      </c>
      <c r="AC2" s="547" t="s">
        <v>8</v>
      </c>
      <c r="AD2" s="556" t="s">
        <v>8</v>
      </c>
      <c r="AE2" s="521" t="s">
        <v>8</v>
      </c>
    </row>
    <row r="3" spans="1:31" ht="15.75" customHeight="1" x14ac:dyDescent="0.3">
      <c r="A3" s="524" t="s">
        <v>132</v>
      </c>
      <c r="B3" s="529">
        <f>'2015'!B3-'2014'!B4</f>
        <v>68113.249798124656</v>
      </c>
      <c r="C3" s="514">
        <f>'2015'!C3-'2014'!C4</f>
        <v>37879.902871293714</v>
      </c>
      <c r="D3" s="514">
        <f>'2015'!D3-'2014'!D4</f>
        <v>26007.902150338981</v>
      </c>
      <c r="E3" s="535">
        <f>'2015'!E3-'2014'!E4</f>
        <v>132001.05481975712</v>
      </c>
      <c r="F3" s="539">
        <f>'2015'!F3-'2014'!F4</f>
        <v>33930.522016999923</v>
      </c>
      <c r="G3" s="515">
        <f>'2015'!G3-'2014'!G4</f>
        <v>42927.437501000473</v>
      </c>
      <c r="H3" s="515">
        <f>'2015'!H3-'2014'!H4</f>
        <v>-39884.178822998947</v>
      </c>
      <c r="I3" s="540">
        <f>'2015'!I3-'2014'!I4</f>
        <v>36973.780695001362</v>
      </c>
      <c r="J3" s="548">
        <f>'2015'!J3-'2014'!J4</f>
        <v>102044.24979812466</v>
      </c>
      <c r="K3" s="516">
        <f>'2015'!K3-'2014'!K4</f>
        <v>80806.902871293714</v>
      </c>
      <c r="L3" s="516">
        <f>'2015'!L3-'2014'!L4</f>
        <v>-13876.097849661019</v>
      </c>
      <c r="M3" s="549">
        <f>'2015'!M3-'2014'!M4</f>
        <v>168974.83551475871</v>
      </c>
      <c r="N3" s="557">
        <f>'2015'!N3-'2014'!N4</f>
        <v>38296.192350654339</v>
      </c>
      <c r="O3" s="558">
        <f>'2015'!O3-'2014'!O4</f>
        <v>-1322.4929024777957</v>
      </c>
      <c r="Q3" s="524" t="s">
        <v>132</v>
      </c>
      <c r="R3" s="567">
        <f>IFERROR(B3/'2014'!B4,"")</f>
        <v>0.12842421484740979</v>
      </c>
      <c r="S3" s="567">
        <f>IFERROR(C3/'2014'!C4,"")</f>
        <v>4.0873476273569978E-2</v>
      </c>
      <c r="T3" s="567">
        <f>IFERROR(D3/'2014'!D4,"")</f>
        <v>2.808022257648346E-2</v>
      </c>
      <c r="U3" s="567">
        <f>IFERROR(E3/'2014'!E4,"")</f>
        <v>5.5384972758681261E-2</v>
      </c>
      <c r="V3" s="568">
        <f>IFERROR(F3/'2014'!F4,"")</f>
        <v>0.30554968589376019</v>
      </c>
      <c r="W3" s="568">
        <f>IFERROR(G3/'2014'!G4,"")</f>
        <v>0.15530204963515667</v>
      </c>
      <c r="X3" s="568">
        <f>IFERROR(H3/'2014'!H4,"")</f>
        <v>-9.0712208938290531E-2</v>
      </c>
      <c r="Y3" s="568">
        <f>IFERROR(I3/'2014'!I4,"")</f>
        <v>4.4700849062528525E-2</v>
      </c>
      <c r="Z3" s="569">
        <f>IFERROR(J3/'2014'!J4,"")</f>
        <v>0.15909016469312756</v>
      </c>
      <c r="AA3" s="569">
        <f>IFERROR(K3/'2014'!K4,"")</f>
        <v>6.7161499527743487E-2</v>
      </c>
      <c r="AB3" s="569">
        <f>IFERROR(L3/'2014'!L4,"")</f>
        <v>-1.015910487588278E-2</v>
      </c>
      <c r="AC3" s="569">
        <f>IFERROR(M3/'2014'!M4,"")</f>
        <v>5.2632343803400629E-2</v>
      </c>
      <c r="AD3" s="570">
        <f>IFERROR(N3/'2014'!N4,"")</f>
        <v>9.549402770479401E-2</v>
      </c>
      <c r="AE3" s="570">
        <f>IFERROR(O3/'2014'!O4,"")</f>
        <v>-3.1036719581745251E-3</v>
      </c>
    </row>
    <row r="4" spans="1:31" ht="15" customHeight="1" x14ac:dyDescent="0.3">
      <c r="A4" s="525" t="s">
        <v>10</v>
      </c>
      <c r="B4" s="530">
        <f>'2015'!B4-'2014'!B5</f>
        <v>71810.666971660918</v>
      </c>
      <c r="C4" s="511">
        <f>'2015'!C4-'2014'!C5</f>
        <v>79721.168655565707</v>
      </c>
      <c r="D4" s="511">
        <f>'2015'!D4-'2014'!D5</f>
        <v>67355.932381500723</v>
      </c>
      <c r="E4" s="536">
        <f>'2015'!E4-'2014'!E5</f>
        <v>218887.76800872735</v>
      </c>
      <c r="F4" s="541">
        <f>'2015'!F4-'2014'!F5</f>
        <v>34374.00809999989</v>
      </c>
      <c r="G4" s="512">
        <f>'2015'!G4-'2014'!G5</f>
        <v>28008.836793999901</v>
      </c>
      <c r="H4" s="512">
        <f>'2015'!H4-'2014'!H5</f>
        <v>19996.269487999904</v>
      </c>
      <c r="I4" s="542">
        <f>'2015'!I4-'2014'!I5</f>
        <v>82379.114381999709</v>
      </c>
      <c r="J4" s="550">
        <f>'2015'!J4-'2014'!J5</f>
        <v>106184.67507166078</v>
      </c>
      <c r="K4" s="513">
        <f>'2015'!K4-'2014'!K5</f>
        <v>107730.00544956559</v>
      </c>
      <c r="L4" s="513">
        <f>'2015'!L4-'2014'!L5</f>
        <v>87352.201869500626</v>
      </c>
      <c r="M4" s="551">
        <f>'2015'!M4-'2014'!M5</f>
        <v>301266.88239072729</v>
      </c>
      <c r="N4" s="559">
        <f>'2015'!N4-'2014'!N5</f>
        <v>0</v>
      </c>
      <c r="O4" s="560">
        <f>'2015'!O4-'2014'!O5</f>
        <v>0</v>
      </c>
      <c r="Q4" s="525" t="s">
        <v>10</v>
      </c>
      <c r="R4" s="567">
        <f>IFERROR(B4/'2014'!B5,"")</f>
        <v>0.14921169947588536</v>
      </c>
      <c r="S4" s="567">
        <f>IFERROR(C4/'2014'!C5,"")</f>
        <v>0.11420094696518972</v>
      </c>
      <c r="T4" s="567">
        <f>IFERROR(D4/'2014'!D5,"")</f>
        <v>0.15299543071518945</v>
      </c>
      <c r="U4" s="567">
        <f>IFERROR(E4/'2014'!E5,"")</f>
        <v>0.13514986049503014</v>
      </c>
      <c r="V4" s="568">
        <f>IFERROR(F4/'2014'!F5,"")</f>
        <v>0.41032816959912644</v>
      </c>
      <c r="W4" s="568">
        <f>IFERROR(G4/'2014'!G5,"")</f>
        <v>0.21511806028664485</v>
      </c>
      <c r="X4" s="568">
        <f>IFERROR(H4/'2014'!H5,"")</f>
        <v>0.4020584666317869</v>
      </c>
      <c r="Y4" s="568">
        <f>IFERROR(I4/'2014'!I5,"")</f>
        <v>0.31238657047503243</v>
      </c>
      <c r="Z4" s="569">
        <f>IFERROR(J4/'2014'!J5,"")</f>
        <v>0.18792450891681683</v>
      </c>
      <c r="AA4" s="569">
        <f>IFERROR(K4/'2014'!K5,"")</f>
        <v>0.13006469336725168</v>
      </c>
      <c r="AB4" s="569">
        <f>IFERROR(L4/'2014'!L5,"")</f>
        <v>0.1782760828697437</v>
      </c>
      <c r="AC4" s="569">
        <f>IFERROR(M4/'2014'!M5,"")</f>
        <v>0.15996738743341055</v>
      </c>
      <c r="AD4" s="570" t="str">
        <f>IFERROR(N4/'2014'!N5,"")</f>
        <v/>
      </c>
      <c r="AE4" s="570" t="str">
        <f>IFERROR(O4/'2014'!O5,"")</f>
        <v/>
      </c>
    </row>
    <row r="5" spans="1:31" ht="15" customHeight="1" x14ac:dyDescent="0.3">
      <c r="A5" s="525" t="s">
        <v>35</v>
      </c>
      <c r="B5" s="530">
        <f>'2015'!B5-'2014'!B6</f>
        <v>167550</v>
      </c>
      <c r="C5" s="511">
        <f>'2015'!C5-'2014'!C6</f>
        <v>58901</v>
      </c>
      <c r="D5" s="511">
        <f>'2015'!D5-'2014'!D6</f>
        <v>-69903</v>
      </c>
      <c r="E5" s="536">
        <f>'2015'!E5-'2014'!E6</f>
        <v>156548</v>
      </c>
      <c r="F5" s="541">
        <f>'2015'!F5-'2014'!F6</f>
        <v>141750.40144858742</v>
      </c>
      <c r="G5" s="512">
        <f>'2015'!G5-'2014'!G6</f>
        <v>186064.05000646831</v>
      </c>
      <c r="H5" s="512">
        <f>'2015'!H5-'2014'!H6</f>
        <v>-242797.46177272708</v>
      </c>
      <c r="I5" s="542">
        <f>'2015'!I5-'2014'!I6</f>
        <v>85016.166612612084</v>
      </c>
      <c r="J5" s="550">
        <f>'2015'!J5-'2014'!J6</f>
        <v>309300.40144858742</v>
      </c>
      <c r="K5" s="513">
        <f>'2015'!K5-'2014'!K6</f>
        <v>244965.05000646785</v>
      </c>
      <c r="L5" s="513">
        <f>'2015'!L5-'2014'!L6</f>
        <v>-312700.88339385577</v>
      </c>
      <c r="M5" s="551">
        <f>'2015'!M5-'2014'!M6</f>
        <v>241564.16661261208</v>
      </c>
      <c r="N5" s="559">
        <f>'2015'!N5-'2014'!N6</f>
        <v>90343.056814158568</v>
      </c>
      <c r="O5" s="560">
        <f>'2015'!O5-'2014'!O6</f>
        <v>-5327.1006757256109</v>
      </c>
      <c r="Q5" s="525" t="s">
        <v>35</v>
      </c>
      <c r="R5" s="567">
        <f>IFERROR(B5/'2014'!B6,"")</f>
        <v>8.5366182967421253E-2</v>
      </c>
      <c r="S5" s="567">
        <f>IFERROR(C5/'2014'!C6,"")</f>
        <v>1.5878608615387271E-2</v>
      </c>
      <c r="T5" s="567">
        <f>IFERROR(D5/'2014'!D6,"")</f>
        <v>-2.0006662877298305E-2</v>
      </c>
      <c r="U5" s="567">
        <f>IFERROR(E5/'2014'!E6,"")</f>
        <v>1.7078902044399602E-2</v>
      </c>
      <c r="V5" s="568">
        <f>IFERROR(F5/'2014'!F6,"")</f>
        <v>0.34535397756231911</v>
      </c>
      <c r="W5" s="568">
        <f>IFERROR(G5/'2014'!G6,"")</f>
        <v>0.17483525570858446</v>
      </c>
      <c r="X5" s="568">
        <f>IFERROR(H5/'2014'!H6,"")</f>
        <v>-0.14176268727279867</v>
      </c>
      <c r="Y5" s="568">
        <f>IFERROR(I5/'2014'!I6,"")</f>
        <v>2.6672751063683386E-2</v>
      </c>
      <c r="Z5" s="569">
        <f>IFERROR(J5/'2014'!J6,"")</f>
        <v>0.13033213947509081</v>
      </c>
      <c r="AA5" s="569">
        <f>IFERROR(K5/'2014'!K6,"")</f>
        <v>5.131575612330775E-2</v>
      </c>
      <c r="AB5" s="569">
        <f>IFERROR(L5/'2014'!L6,"")</f>
        <v>-6.0057518960002568E-2</v>
      </c>
      <c r="AC5" s="569">
        <f>IFERROR(M5/'2014'!M6,"")</f>
        <v>1.9554243358917797E-2</v>
      </c>
      <c r="AD5" s="570">
        <f>IFERROR(N5/'2014'!N6,"")</f>
        <v>5.5282540851636579E-2</v>
      </c>
      <c r="AE5" s="570">
        <f>IFERROR(O5/'2014'!O6,"")</f>
        <v>-3.42981775399535E-3</v>
      </c>
    </row>
    <row r="6" spans="1:31" ht="15" customHeight="1" x14ac:dyDescent="0.3">
      <c r="A6" s="525" t="s">
        <v>148</v>
      </c>
      <c r="B6" s="530">
        <f>'2015'!B6-'2014'!B7</f>
        <v>189026</v>
      </c>
      <c r="C6" s="511">
        <f>'2015'!C6-'2014'!C7</f>
        <v>197848</v>
      </c>
      <c r="D6" s="511">
        <f>'2015'!D6-'2014'!D7</f>
        <v>143794.93137019267</v>
      </c>
      <c r="E6" s="536">
        <f>'2015'!E6-'2014'!E7</f>
        <v>530668.93137019314</v>
      </c>
      <c r="F6" s="541">
        <f>'2015'!F6-'2014'!F7</f>
        <v>0</v>
      </c>
      <c r="G6" s="512">
        <f>'2015'!G6-'2014'!G7</f>
        <v>0</v>
      </c>
      <c r="H6" s="512">
        <f>'2015'!H6-'2014'!H7</f>
        <v>0</v>
      </c>
      <c r="I6" s="542">
        <f>'2015'!I6-'2014'!I7</f>
        <v>328452.78836047754</v>
      </c>
      <c r="J6" s="550">
        <f>'2015'!J6-'2014'!J7</f>
        <v>0</v>
      </c>
      <c r="K6" s="513">
        <f>'2015'!K6-'2014'!K7</f>
        <v>0</v>
      </c>
      <c r="L6" s="513">
        <f>'2015'!L6-'2014'!L7</f>
        <v>0</v>
      </c>
      <c r="M6" s="551">
        <f>'2015'!M6-'2014'!M7</f>
        <v>859121.71973067056</v>
      </c>
      <c r="N6" s="559">
        <f>'2015'!N6-'2014'!N7</f>
        <v>0</v>
      </c>
      <c r="O6" s="560">
        <f>'2015'!O6-'2014'!O7</f>
        <v>0</v>
      </c>
      <c r="Q6" s="525" t="s">
        <v>148</v>
      </c>
      <c r="R6" s="567">
        <f>IFERROR(B6/'2014'!B7,"")</f>
        <v>0.10557327900129128</v>
      </c>
      <c r="S6" s="567">
        <f>IFERROR(C6/'2014'!C7,"")</f>
        <v>6.9269561978065997E-2</v>
      </c>
      <c r="T6" s="567">
        <f>IFERROR(D6/'2014'!D7,"")</f>
        <v>8.5044192229237467E-2</v>
      </c>
      <c r="U6" s="567">
        <f>IFERROR(E6/'2014'!E7,"")</f>
        <v>8.37347161973587E-2</v>
      </c>
      <c r="V6" s="568" t="str">
        <f>IFERROR(F6/'2014'!F7,"")</f>
        <v/>
      </c>
      <c r="W6" s="568" t="str">
        <f>IFERROR(G6/'2014'!G7,"")</f>
        <v/>
      </c>
      <c r="X6" s="568" t="str">
        <f>IFERROR(H6/'2014'!H7,"")</f>
        <v/>
      </c>
      <c r="Y6" s="568">
        <f>IFERROR(I6/'2014'!I7,"")</f>
        <v>0.32534685845723227</v>
      </c>
      <c r="Z6" s="569" t="str">
        <f>IFERROR(J6/'2014'!J7,"")</f>
        <v/>
      </c>
      <c r="AA6" s="569" t="str">
        <f>IFERROR(K6/'2014'!K7,"")</f>
        <v/>
      </c>
      <c r="AB6" s="569" t="str">
        <f>IFERROR(L6/'2014'!L7,"")</f>
        <v/>
      </c>
      <c r="AC6" s="569">
        <f>IFERROR(M6/'2014'!M7,"")</f>
        <v>0.1169342651721193</v>
      </c>
      <c r="AD6" s="570" t="str">
        <f>IFERROR(N6/'2014'!N7,"")</f>
        <v/>
      </c>
      <c r="AE6" s="570" t="str">
        <f>IFERROR(O6/'2014'!O7,"")</f>
        <v/>
      </c>
    </row>
    <row r="7" spans="1:31" ht="15" customHeight="1" x14ac:dyDescent="0.3">
      <c r="A7" s="525" t="s">
        <v>144</v>
      </c>
      <c r="B7" s="530">
        <f>'2015'!B7-'2014'!B8</f>
        <v>54148.112564770272</v>
      </c>
      <c r="C7" s="511">
        <f>'2015'!C7-'2014'!C8</f>
        <v>44468</v>
      </c>
      <c r="D7" s="511">
        <f>'2015'!D7-'2014'!D8</f>
        <v>-15168</v>
      </c>
      <c r="E7" s="536">
        <f>'2015'!E7-'2014'!E8</f>
        <v>83448.112564770505</v>
      </c>
      <c r="F7" s="541">
        <f>'2015'!F7-'2014'!F8</f>
        <v>76744.578895534039</v>
      </c>
      <c r="G7" s="512">
        <f>'2015'!G7-'2014'!G8</f>
        <v>94030.561149025802</v>
      </c>
      <c r="H7" s="512">
        <f>'2015'!H7-'2014'!H8</f>
        <v>-123627</v>
      </c>
      <c r="I7" s="542">
        <f>'2015'!I7-'2014'!I8</f>
        <v>47149</v>
      </c>
      <c r="J7" s="550">
        <f>'2015'!J7-'2014'!J8</f>
        <v>130892.6914603042</v>
      </c>
      <c r="K7" s="513">
        <f>'2015'!K7-'2014'!K8</f>
        <v>138498.5611490258</v>
      </c>
      <c r="L7" s="513">
        <f>'2015'!L7-'2014'!L8</f>
        <v>-138795</v>
      </c>
      <c r="M7" s="551">
        <f>'2015'!M7-'2014'!M8</f>
        <v>130597.1125647705</v>
      </c>
      <c r="N7" s="559">
        <f>'2015'!N7-'2014'!N8</f>
        <v>47147</v>
      </c>
      <c r="O7" s="560">
        <f>'2015'!O7-'2014'!O8</f>
        <v>1.5832132721552625</v>
      </c>
      <c r="P7" s="38"/>
      <c r="Q7" s="525" t="s">
        <v>144</v>
      </c>
      <c r="R7" s="567">
        <f>IFERROR(B7/'2014'!B8,"")</f>
        <v>5.133013925008012E-2</v>
      </c>
      <c r="S7" s="567">
        <f>IFERROR(C7/'2014'!C8,"")</f>
        <v>2.3399604498903898E-2</v>
      </c>
      <c r="T7" s="567">
        <f>IFERROR(D7/'2014'!D8,"")</f>
        <v>-8.6371737855397944E-3</v>
      </c>
      <c r="U7" s="567">
        <f>IFERROR(E7/'2014'!E8,"")</f>
        <v>1.7711945372699066E-2</v>
      </c>
      <c r="V7" s="568">
        <f>IFERROR(F7/'2014'!F8,"")</f>
        <v>0.37086425006495827</v>
      </c>
      <c r="W7" s="568">
        <f>IFERROR(G7/'2014'!G8,"")</f>
        <v>0.16757434165324911</v>
      </c>
      <c r="X7" s="568">
        <f>IFERROR(H7/'2014'!H8,"")</f>
        <v>-0.13952945053655189</v>
      </c>
      <c r="Y7" s="568">
        <f>IFERROR(I7/'2014'!I8,"")</f>
        <v>2.8504512151401769E-2</v>
      </c>
      <c r="Z7" s="569">
        <f>IFERROR(J7/'2014'!J8,"")</f>
        <v>0.10373214821472676</v>
      </c>
      <c r="AA7" s="569">
        <f>IFERROR(K7/'2014'!K8,"")</f>
        <v>5.6265886731992634E-2</v>
      </c>
      <c r="AB7" s="569">
        <f>IFERROR(L7/'2014'!L8,"")</f>
        <v>-5.2530923585947548E-2</v>
      </c>
      <c r="AC7" s="569">
        <f>IFERROR(M7/'2014'!M8,"")</f>
        <v>2.0516420814725791E-2</v>
      </c>
      <c r="AD7" s="570">
        <f>IFERROR(N7/'2014'!N8,"")</f>
        <v>5.5580377404755812E-2</v>
      </c>
      <c r="AE7" s="570">
        <f>IFERROR(O7/'2014'!O8,"")</f>
        <v>1.9647173361947835E-6</v>
      </c>
    </row>
    <row r="8" spans="1:31" ht="15" customHeight="1" x14ac:dyDescent="0.3">
      <c r="A8" s="525" t="s">
        <v>145</v>
      </c>
      <c r="B8" s="530">
        <f>'2015'!B8-'2014'!B9</f>
        <v>113402</v>
      </c>
      <c r="C8" s="511">
        <f>'2015'!C8-'2014'!C9</f>
        <v>14433</v>
      </c>
      <c r="D8" s="511">
        <f>'2015'!D8-'2014'!D9</f>
        <v>-54735</v>
      </c>
      <c r="E8" s="536">
        <f>'2015'!E8-'2014'!E9</f>
        <v>73100</v>
      </c>
      <c r="F8" s="541">
        <f>'2015'!F8-'2014'!F9</f>
        <v>65005</v>
      </c>
      <c r="G8" s="512">
        <f>'2015'!G8-'2014'!G9</f>
        <v>92032.571919695183</v>
      </c>
      <c r="H8" s="512">
        <f>'2015'!H8-'2014'!H9</f>
        <v>-119171</v>
      </c>
      <c r="I8" s="542">
        <f>'2015'!I8-'2014'!I9</f>
        <v>37866.571919695241</v>
      </c>
      <c r="J8" s="550">
        <f>'2015'!J8-'2014'!J9</f>
        <v>178407</v>
      </c>
      <c r="K8" s="513">
        <f>'2015'!K8-'2014'!K9</f>
        <v>106465.57191969501</v>
      </c>
      <c r="L8" s="513">
        <f>'2015'!L8-'2014'!L9</f>
        <v>-173906</v>
      </c>
      <c r="M8" s="551">
        <f>'2015'!M8-'2014'!M9</f>
        <v>110966.57191969547</v>
      </c>
      <c r="N8" s="559">
        <f>'2015'!N8-'2014'!N9</f>
        <v>43196</v>
      </c>
      <c r="O8" s="560">
        <f>'2015'!O8-'2014'!O9</f>
        <v>-5328.6838889978826</v>
      </c>
      <c r="Q8" s="525" t="s">
        <v>145</v>
      </c>
      <c r="R8" s="567">
        <f>IFERROR(B8/'2014'!B9,"")</f>
        <v>0.12491655853239952</v>
      </c>
      <c r="S8" s="567">
        <f>IFERROR(C8/'2014'!C9,"")</f>
        <v>7.9780794900397006E-3</v>
      </c>
      <c r="T8" s="567">
        <f>IFERROR(D8/'2014'!D9,"")</f>
        <v>-3.1495705052662588E-2</v>
      </c>
      <c r="U8" s="567">
        <f>IFERROR(E8/'2014'!E9,"")</f>
        <v>1.6409413750684661E-2</v>
      </c>
      <c r="V8" s="568">
        <f>IFERROR(F8/'2014'!F9,"")</f>
        <v>0.31940977613553728</v>
      </c>
      <c r="W8" s="568">
        <f>IFERROR(G8/'2014'!G9,"")</f>
        <v>0.18293154337783957</v>
      </c>
      <c r="X8" s="568">
        <f>IFERROR(H8/'2014'!H9,"")</f>
        <v>-0.14415684016470781</v>
      </c>
      <c r="Y8" s="568">
        <f>IFERROR(I8/'2014'!I9,"")</f>
        <v>2.4696281426020886E-2</v>
      </c>
      <c r="Z8" s="569">
        <f>IFERROR(J8/'2014'!J9,"")</f>
        <v>0.16053351905540889</v>
      </c>
      <c r="AA8" s="569">
        <f>IFERROR(K8/'2014'!K9,"")</f>
        <v>4.6045529417480788E-2</v>
      </c>
      <c r="AB8" s="569">
        <f>IFERROR(L8/'2014'!L9,"")</f>
        <v>-6.7811982849112426E-2</v>
      </c>
      <c r="AC8" s="569">
        <f>IFERROR(M8/'2014'!M9,"")</f>
        <v>1.8531335574485133E-2</v>
      </c>
      <c r="AD8" s="570">
        <f>IFERROR(N8/'2014'!N9,"")</f>
        <v>5.496100842431792E-2</v>
      </c>
      <c r="AE8" s="570">
        <f>IFERROR(O8/'2014'!O9,"")</f>
        <v>-7.1300983646244162E-3</v>
      </c>
    </row>
    <row r="9" spans="1:31" ht="15" customHeight="1" x14ac:dyDescent="0.3">
      <c r="A9" s="525" t="s">
        <v>34</v>
      </c>
      <c r="B9" s="530">
        <f>'2015'!B9-'2014'!B10</f>
        <v>26939</v>
      </c>
      <c r="C9" s="511">
        <f>'2015'!C9-'2014'!C10</f>
        <v>37451</v>
      </c>
      <c r="D9" s="511">
        <f>'2015'!D9-'2014'!D10</f>
        <v>-16085</v>
      </c>
      <c r="E9" s="536">
        <f>'2015'!E9-'2014'!E10</f>
        <v>48305</v>
      </c>
      <c r="F9" s="541">
        <f>'2015'!F9-'2014'!F10</f>
        <v>17441.434680621926</v>
      </c>
      <c r="G9" s="512">
        <f>'2015'!G9-'2014'!G10</f>
        <v>49489.291234527365</v>
      </c>
      <c r="H9" s="512">
        <f>'2015'!H9-'2014'!H10</f>
        <v>-48225</v>
      </c>
      <c r="I9" s="542">
        <f>'2015'!I9-'2014'!I10</f>
        <v>18705</v>
      </c>
      <c r="J9" s="550">
        <f>'2015'!J9-'2014'!J10</f>
        <v>44380.434680621926</v>
      </c>
      <c r="K9" s="513">
        <f>'2015'!K9-'2014'!K10</f>
        <v>86940.291234527365</v>
      </c>
      <c r="L9" s="513">
        <f>'2015'!L9-'2014'!L10</f>
        <v>-64310</v>
      </c>
      <c r="M9" s="551">
        <f>'2015'!M9-'2014'!M10</f>
        <v>67010</v>
      </c>
      <c r="N9" s="559">
        <f>'2015'!N9-'2014'!N10</f>
        <v>0</v>
      </c>
      <c r="O9" s="560">
        <f>'2015'!O9-'2014'!O10</f>
        <v>0</v>
      </c>
      <c r="Q9" s="525" t="s">
        <v>34</v>
      </c>
      <c r="R9" s="567">
        <f>IFERROR(B9/'2014'!B10,"")</f>
        <v>0.12903488477916206</v>
      </c>
      <c r="S9" s="567">
        <f>IFERROR(C9/'2014'!C10,"")</f>
        <v>7.8124152547676365E-2</v>
      </c>
      <c r="T9" s="567">
        <f>IFERROR(D9/'2014'!D10,"")</f>
        <v>-2.6177797452038565E-2</v>
      </c>
      <c r="U9" s="567">
        <f>IFERROR(E9/'2014'!E10,"")</f>
        <v>3.7083439850821777E-2</v>
      </c>
      <c r="V9" s="568">
        <f>IFERROR(F9/'2014'!F10,"")</f>
        <v>0.39203427939596108</v>
      </c>
      <c r="W9" s="568">
        <f>IFERROR(G9/'2014'!G10,"")</f>
        <v>0.3997528889852266</v>
      </c>
      <c r="X9" s="568">
        <f>IFERROR(H9/'2014'!H10,"")</f>
        <v>-0.16321067291193561</v>
      </c>
      <c r="Y9" s="568">
        <f>IFERROR(I9/'2014'!I10,"")</f>
        <v>4.0332753300687627E-2</v>
      </c>
      <c r="Z9" s="569">
        <f>IFERROR(J9/'2014'!J10,"")</f>
        <v>0.17523487778249322</v>
      </c>
      <c r="AA9" s="569">
        <f>IFERROR(K9/'2014'!K10,"")</f>
        <v>0.14413710913234604</v>
      </c>
      <c r="AB9" s="569">
        <f>IFERROR(L9/'2014'!L10,"")</f>
        <v>-7.0675843939472197E-2</v>
      </c>
      <c r="AC9" s="569">
        <f>IFERROR(M9/'2014'!M10,"")</f>
        <v>3.7936559158047292E-2</v>
      </c>
      <c r="AD9" s="570" t="str">
        <f>IFERROR(N9/'2014'!N10,"")</f>
        <v/>
      </c>
      <c r="AE9" s="570" t="str">
        <f>IFERROR(O9/'2014'!O10,"")</f>
        <v/>
      </c>
    </row>
    <row r="10" spans="1:31" ht="15" customHeight="1" x14ac:dyDescent="0.3">
      <c r="A10" s="526" t="s">
        <v>36</v>
      </c>
      <c r="B10" s="530">
        <f>'2015'!B10-'2014'!B11</f>
        <v>18102</v>
      </c>
      <c r="C10" s="511">
        <f>'2015'!C10-'2014'!C11</f>
        <v>-11716</v>
      </c>
      <c r="D10" s="511">
        <f>'2015'!D10-'2014'!D11</f>
        <v>-7232</v>
      </c>
      <c r="E10" s="536">
        <f>'2015'!E10-'2014'!E11</f>
        <v>-846</v>
      </c>
      <c r="F10" s="541">
        <f>'2015'!F10-'2014'!F11</f>
        <v>0</v>
      </c>
      <c r="G10" s="512">
        <f>'2015'!G10-'2014'!G11</f>
        <v>0</v>
      </c>
      <c r="H10" s="512">
        <f>'2015'!H10-'2014'!H11</f>
        <v>0</v>
      </c>
      <c r="I10" s="542">
        <f>'2015'!I10-'2014'!I11</f>
        <v>0</v>
      </c>
      <c r="J10" s="550">
        <f>'2015'!J10-'2014'!J11</f>
        <v>0</v>
      </c>
      <c r="K10" s="513">
        <f>'2015'!K10-'2014'!K11</f>
        <v>0</v>
      </c>
      <c r="L10" s="513">
        <f>'2015'!L10-'2014'!L11</f>
        <v>0</v>
      </c>
      <c r="M10" s="551">
        <f>'2015'!M10-'2014'!M11</f>
        <v>0</v>
      </c>
      <c r="N10" s="559">
        <f>'2015'!N10-'2014'!N11</f>
        <v>0</v>
      </c>
      <c r="O10" s="560">
        <f>'2015'!O10-'2014'!O11</f>
        <v>0</v>
      </c>
      <c r="Q10" s="526" t="s">
        <v>36</v>
      </c>
      <c r="R10" s="567">
        <f>IFERROR(B10/'2014'!B11,"")</f>
        <v>0.18253504083896341</v>
      </c>
      <c r="S10" s="567">
        <f>IFERROR(C10/'2014'!C11,"")</f>
        <v>-4.3584525930858486E-2</v>
      </c>
      <c r="T10" s="567">
        <f>IFERROR(D10/'2014'!D11,"")</f>
        <v>-2.3723998569736813E-2</v>
      </c>
      <c r="U10" s="567">
        <f>IFERROR(E10/'2014'!E11,"")</f>
        <v>-1.2573942510626913E-3</v>
      </c>
      <c r="V10" s="568" t="str">
        <f>IFERROR(F10/'2014'!F11,"")</f>
        <v/>
      </c>
      <c r="W10" s="568" t="str">
        <f>IFERROR(G10/'2014'!G11,"")</f>
        <v/>
      </c>
      <c r="X10" s="568" t="str">
        <f>IFERROR(H10/'2014'!H11,"")</f>
        <v/>
      </c>
      <c r="Y10" s="568" t="str">
        <f>IFERROR(I10/'2014'!I11,"")</f>
        <v/>
      </c>
      <c r="Z10" s="569" t="str">
        <f>IFERROR(J10/'2014'!J11,"")</f>
        <v/>
      </c>
      <c r="AA10" s="569" t="str">
        <f>IFERROR(K10/'2014'!K11,"")</f>
        <v/>
      </c>
      <c r="AB10" s="569" t="str">
        <f>IFERROR(L10/'2014'!L11,"")</f>
        <v/>
      </c>
      <c r="AC10" s="569" t="str">
        <f>IFERROR(M10/'2014'!M11,"")</f>
        <v/>
      </c>
      <c r="AD10" s="570" t="str">
        <f>IFERROR(N10/'2014'!N11,"")</f>
        <v/>
      </c>
      <c r="AE10" s="570" t="str">
        <f>IFERROR(O10/'2014'!O11,"")</f>
        <v/>
      </c>
    </row>
    <row r="11" spans="1:31" ht="15" customHeight="1" x14ac:dyDescent="0.3">
      <c r="A11" s="526" t="s">
        <v>37</v>
      </c>
      <c r="B11" s="530">
        <f>'2015'!B11-'2014'!B12</f>
        <v>8837</v>
      </c>
      <c r="C11" s="511">
        <f>'2015'!C11-'2014'!C12</f>
        <v>49167</v>
      </c>
      <c r="D11" s="511">
        <f>'2015'!D11-'2014'!D12</f>
        <v>-8853</v>
      </c>
      <c r="E11" s="536">
        <f>'2015'!E11-'2014'!E12</f>
        <v>49151</v>
      </c>
      <c r="F11" s="541">
        <f>'2015'!F11-'2014'!F12</f>
        <v>0</v>
      </c>
      <c r="G11" s="512">
        <f>'2015'!G11-'2014'!G12</f>
        <v>0</v>
      </c>
      <c r="H11" s="512">
        <f>'2015'!H11-'2014'!H12</f>
        <v>0</v>
      </c>
      <c r="I11" s="542">
        <f>'2015'!I11-'2014'!I12</f>
        <v>0</v>
      </c>
      <c r="J11" s="550">
        <f>'2015'!J11-'2014'!J12</f>
        <v>0</v>
      </c>
      <c r="K11" s="513">
        <f>'2015'!K11-'2014'!K12</f>
        <v>0</v>
      </c>
      <c r="L11" s="513">
        <f>'2015'!L11-'2014'!L12</f>
        <v>0</v>
      </c>
      <c r="M11" s="551">
        <f>'2015'!M11-'2014'!M12</f>
        <v>0</v>
      </c>
      <c r="N11" s="559">
        <f>'2015'!N11-'2014'!N12</f>
        <v>0</v>
      </c>
      <c r="O11" s="560">
        <f>'2015'!O11-'2014'!O12</f>
        <v>0</v>
      </c>
      <c r="Q11" s="526" t="s">
        <v>37</v>
      </c>
      <c r="R11" s="567">
        <f>IFERROR(B11/'2014'!B12,"")</f>
        <v>8.0627355090645322E-2</v>
      </c>
      <c r="S11" s="567">
        <f>IFERROR(C11/'2014'!C12,"")</f>
        <v>0.23349812648705637</v>
      </c>
      <c r="T11" s="567">
        <f>IFERROR(D11/'2014'!D12,"")</f>
        <v>-2.8593760597907712E-2</v>
      </c>
      <c r="U11" s="567">
        <f>IFERROR(E11/'2014'!E12,"")</f>
        <v>7.8044342257571259E-2</v>
      </c>
      <c r="V11" s="568" t="str">
        <f>IFERROR(F11/'2014'!F12,"")</f>
        <v/>
      </c>
      <c r="W11" s="568" t="str">
        <f>IFERROR(G11/'2014'!G12,"")</f>
        <v/>
      </c>
      <c r="X11" s="568" t="str">
        <f>IFERROR(H11/'2014'!H12,"")</f>
        <v/>
      </c>
      <c r="Y11" s="568" t="str">
        <f>IFERROR(I11/'2014'!I12,"")</f>
        <v/>
      </c>
      <c r="Z11" s="569" t="str">
        <f>IFERROR(J11/'2014'!J12,"")</f>
        <v/>
      </c>
      <c r="AA11" s="569" t="str">
        <f>IFERROR(K11/'2014'!K12,"")</f>
        <v/>
      </c>
      <c r="AB11" s="569" t="str">
        <f>IFERROR(L11/'2014'!L12,"")</f>
        <v/>
      </c>
      <c r="AC11" s="569" t="str">
        <f>IFERROR(M11/'2014'!M12,"")</f>
        <v/>
      </c>
      <c r="AD11" s="570" t="str">
        <f>IFERROR(N11/'2014'!N12,"")</f>
        <v/>
      </c>
      <c r="AE11" s="570" t="str">
        <f>IFERROR(O11/'2014'!O12,"")</f>
        <v/>
      </c>
    </row>
    <row r="12" spans="1:31" ht="15" customHeight="1" x14ac:dyDescent="0.3">
      <c r="A12" s="525" t="s">
        <v>14</v>
      </c>
      <c r="B12" s="530">
        <f>'2015'!B12-'2014'!B13</f>
        <v>1545</v>
      </c>
      <c r="C12" s="511">
        <f>'2015'!C12-'2014'!C13</f>
        <v>-39117</v>
      </c>
      <c r="D12" s="511">
        <f>'2015'!D12-'2014'!D13</f>
        <v>-52356</v>
      </c>
      <c r="E12" s="536">
        <f>'2015'!E12-'2014'!E13</f>
        <v>-89928</v>
      </c>
      <c r="F12" s="541">
        <f>'2015'!F12-'2014'!F13</f>
        <v>16352.269121421275</v>
      </c>
      <c r="G12" s="512">
        <f>'2015'!G12-'2014'!G13</f>
        <v>16503</v>
      </c>
      <c r="H12" s="512">
        <f>'2015'!H12-'2014'!H13</f>
        <v>-62318.243893102306</v>
      </c>
      <c r="I12" s="542">
        <f>'2015'!I12-'2014'!I13</f>
        <v>-29462.974771681009</v>
      </c>
      <c r="J12" s="550">
        <f>'2015'!J12-'2014'!J13</f>
        <v>17897.269121421268</v>
      </c>
      <c r="K12" s="513">
        <f>'2015'!K12-'2014'!K13</f>
        <v>-22614</v>
      </c>
      <c r="L12" s="513">
        <f>'2015'!L12-'2014'!L13</f>
        <v>-114674.24389310228</v>
      </c>
      <c r="M12" s="551">
        <f>'2015'!M12-'2014'!M13</f>
        <v>-119390.97477168101</v>
      </c>
      <c r="N12" s="559">
        <f>'2015'!N12-'2014'!N13</f>
        <v>0</v>
      </c>
      <c r="O12" s="560">
        <f>'2015'!O12-'2014'!O13</f>
        <v>0</v>
      </c>
      <c r="Q12" s="525" t="s">
        <v>14</v>
      </c>
      <c r="R12" s="567">
        <f>IFERROR(B12/'2014'!B13,"")</f>
        <v>8.2043820427583711E-3</v>
      </c>
      <c r="S12" s="567">
        <f>IFERROR(C12/'2014'!C13,"")</f>
        <v>-8.2459557568015374E-2</v>
      </c>
      <c r="T12" s="567">
        <f>IFERROR(D12/'2014'!D13,"")</f>
        <v>-0.11294671941943195</v>
      </c>
      <c r="U12" s="567">
        <f>IFERROR(E12/'2014'!E13,"")</f>
        <v>-7.9848131567217581E-2</v>
      </c>
      <c r="V12" s="568">
        <f>IFERROR(F12/'2014'!F13,"")</f>
        <v>0.36538337252343478</v>
      </c>
      <c r="W12" s="568">
        <f>IFERROR(G12/'2014'!G13,"")</f>
        <v>0.12865228101905266</v>
      </c>
      <c r="X12" s="568">
        <f>IFERROR(H12/'2014'!H13,"")</f>
        <v>-0.25485090352321543</v>
      </c>
      <c r="Y12" s="568">
        <f>IFERROR(I12/'2014'!I13,"")</f>
        <v>-7.0560201341601111E-2</v>
      </c>
      <c r="Z12" s="569">
        <f>IFERROR(J12/'2014'!J13,"")</f>
        <v>7.6789991707368555E-2</v>
      </c>
      <c r="AA12" s="569">
        <f>IFERROR(K12/'2014'!K13,"")</f>
        <v>-3.7524018757031395E-2</v>
      </c>
      <c r="AB12" s="569">
        <f>IFERROR(L12/'2014'!L13,"")</f>
        <v>-0.16195228802929684</v>
      </c>
      <c r="AC12" s="569">
        <f>IFERROR(M12/'2014'!M13,"")</f>
        <v>-7.733598009240715E-2</v>
      </c>
      <c r="AD12" s="570" t="str">
        <f>IFERROR(N12/'2014'!N13,"")</f>
        <v/>
      </c>
      <c r="AE12" s="570" t="str">
        <f>IFERROR(O12/'2014'!O13,"")</f>
        <v/>
      </c>
    </row>
    <row r="13" spans="1:31" ht="15" customHeight="1" x14ac:dyDescent="0.3">
      <c r="A13" s="526" t="s">
        <v>15</v>
      </c>
      <c r="B13" s="530">
        <f>'2015'!B13-'2014'!B14</f>
        <v>3483</v>
      </c>
      <c r="C13" s="511">
        <f>'2015'!C13-'2014'!C14</f>
        <v>-18676</v>
      </c>
      <c r="D13" s="511">
        <f>'2015'!D13-'2014'!D14</f>
        <v>-29998</v>
      </c>
      <c r="E13" s="536">
        <f>'2015'!E13-'2014'!E14</f>
        <v>-45191</v>
      </c>
      <c r="F13" s="541">
        <f>'2015'!F13-'2014'!F14</f>
        <v>0</v>
      </c>
      <c r="G13" s="512">
        <f>'2015'!G13-'2014'!G14</f>
        <v>0</v>
      </c>
      <c r="H13" s="512">
        <f>'2015'!H13-'2014'!H14</f>
        <v>0</v>
      </c>
      <c r="I13" s="542">
        <f>'2015'!I13-'2014'!I14</f>
        <v>0</v>
      </c>
      <c r="J13" s="550">
        <f>'2015'!J13-'2014'!J14</f>
        <v>0</v>
      </c>
      <c r="K13" s="513">
        <f>'2015'!K13-'2014'!K14</f>
        <v>0</v>
      </c>
      <c r="L13" s="513">
        <f>'2015'!L13-'2014'!L14</f>
        <v>0</v>
      </c>
      <c r="M13" s="551">
        <f>'2015'!M13-'2014'!M14</f>
        <v>0</v>
      </c>
      <c r="N13" s="559">
        <f>'2015'!N13-'2014'!N14</f>
        <v>0</v>
      </c>
      <c r="O13" s="560">
        <f>'2015'!O13-'2014'!O14</f>
        <v>0</v>
      </c>
      <c r="Q13" s="526" t="s">
        <v>15</v>
      </c>
      <c r="R13" s="567">
        <f>IFERROR(B13/'2014'!B14,"")</f>
        <v>3.5961343878414931E-2</v>
      </c>
      <c r="S13" s="567">
        <f>IFERROR(C13/'2014'!C14,"")</f>
        <v>-7.9675088096517951E-2</v>
      </c>
      <c r="T13" s="567">
        <f>IFERROR(D13/'2014'!D14,"")</f>
        <v>-0.12506357822414554</v>
      </c>
      <c r="U13" s="567">
        <f>IFERROR(E13/'2014'!E14,"")</f>
        <v>-7.9127255663453092E-2</v>
      </c>
      <c r="V13" s="568" t="str">
        <f>IFERROR(F13/'2014'!F14,"")</f>
        <v/>
      </c>
      <c r="W13" s="568" t="str">
        <f>IFERROR(G13/'2014'!G14,"")</f>
        <v/>
      </c>
      <c r="X13" s="568" t="str">
        <f>IFERROR(H13/'2014'!H14,"")</f>
        <v/>
      </c>
      <c r="Y13" s="568" t="str">
        <f>IFERROR(I13/'2014'!I14,"")</f>
        <v/>
      </c>
      <c r="Z13" s="569" t="str">
        <f>IFERROR(J13/'2014'!J14,"")</f>
        <v/>
      </c>
      <c r="AA13" s="569" t="str">
        <f>IFERROR(K13/'2014'!K14,"")</f>
        <v/>
      </c>
      <c r="AB13" s="569" t="str">
        <f>IFERROR(L13/'2014'!L14,"")</f>
        <v/>
      </c>
      <c r="AC13" s="569" t="str">
        <f>IFERROR(M13/'2014'!M14,"")</f>
        <v/>
      </c>
      <c r="AD13" s="570" t="str">
        <f>IFERROR(N13/'2014'!N14,"")</f>
        <v/>
      </c>
      <c r="AE13" s="570" t="str">
        <f>IFERROR(O13/'2014'!O14,"")</f>
        <v/>
      </c>
    </row>
    <row r="14" spans="1:31" ht="15" customHeight="1" x14ac:dyDescent="0.3">
      <c r="A14" s="526" t="s">
        <v>16</v>
      </c>
      <c r="B14" s="530">
        <f>'2015'!B14-'2014'!B15</f>
        <v>-1938</v>
      </c>
      <c r="C14" s="511">
        <f>'2015'!C14-'2014'!C15</f>
        <v>-20441</v>
      </c>
      <c r="D14" s="511">
        <f>'2015'!D14-'2014'!D15</f>
        <v>-22358</v>
      </c>
      <c r="E14" s="536">
        <f>'2015'!E14-'2014'!E15</f>
        <v>-44737</v>
      </c>
      <c r="F14" s="541">
        <f>'2015'!F14-'2014'!F15</f>
        <v>0</v>
      </c>
      <c r="G14" s="512">
        <f>'2015'!G14-'2014'!G15</f>
        <v>0</v>
      </c>
      <c r="H14" s="512">
        <f>'2015'!H14-'2014'!H15</f>
        <v>0</v>
      </c>
      <c r="I14" s="542">
        <f>'2015'!I14-'2014'!I15</f>
        <v>0</v>
      </c>
      <c r="J14" s="550">
        <f>'2015'!J14-'2014'!J15</f>
        <v>0</v>
      </c>
      <c r="K14" s="513">
        <f>'2015'!K14-'2014'!K15</f>
        <v>0</v>
      </c>
      <c r="L14" s="513">
        <f>'2015'!L14-'2014'!L15</f>
        <v>0</v>
      </c>
      <c r="M14" s="551">
        <f>'2015'!M14-'2014'!M15</f>
        <v>0</v>
      </c>
      <c r="N14" s="559">
        <f>'2015'!N14-'2014'!N15</f>
        <v>0</v>
      </c>
      <c r="O14" s="560">
        <f>'2015'!O14-'2014'!O15</f>
        <v>0</v>
      </c>
      <c r="Q14" s="526" t="s">
        <v>16</v>
      </c>
      <c r="R14" s="567">
        <f>IFERROR(B14/'2014'!B15,"")</f>
        <v>-2.1189591078066915E-2</v>
      </c>
      <c r="S14" s="567">
        <f>IFERROR(C14/'2014'!C15,"")</f>
        <v>-8.5179351268460185E-2</v>
      </c>
      <c r="T14" s="567">
        <f>IFERROR(D14/'2014'!D15,"")</f>
        <v>-9.9953505838593734E-2</v>
      </c>
      <c r="U14" s="567">
        <f>IFERROR(E14/'2014'!E15,"")</f>
        <v>-8.058978238939328E-2</v>
      </c>
      <c r="V14" s="568" t="str">
        <f>IFERROR(F14/'2014'!F15,"")</f>
        <v/>
      </c>
      <c r="W14" s="568" t="str">
        <f>IFERROR(G14/'2014'!G15,"")</f>
        <v/>
      </c>
      <c r="X14" s="568" t="str">
        <f>IFERROR(H14/'2014'!H15,"")</f>
        <v/>
      </c>
      <c r="Y14" s="568" t="str">
        <f>IFERROR(I14/'2014'!I15,"")</f>
        <v/>
      </c>
      <c r="Z14" s="569" t="str">
        <f>IFERROR(J14/'2014'!J15,"")</f>
        <v/>
      </c>
      <c r="AA14" s="569" t="str">
        <f>IFERROR(K14/'2014'!K15,"")</f>
        <v/>
      </c>
      <c r="AB14" s="569" t="str">
        <f>IFERROR(L14/'2014'!L15,"")</f>
        <v/>
      </c>
      <c r="AC14" s="569" t="str">
        <f>IFERROR(M14/'2014'!M15,"")</f>
        <v/>
      </c>
      <c r="AD14" s="570" t="str">
        <f>IFERROR(N14/'2014'!N15,"")</f>
        <v/>
      </c>
      <c r="AE14" s="570" t="str">
        <f>IFERROR(O14/'2014'!O15,"")</f>
        <v/>
      </c>
    </row>
    <row r="15" spans="1:31" ht="15" customHeight="1" x14ac:dyDescent="0.3">
      <c r="A15" s="525" t="s">
        <v>17</v>
      </c>
      <c r="B15" s="530">
        <f>'2015'!B15-'2014'!B16</f>
        <v>1102</v>
      </c>
      <c r="C15" s="511">
        <f>'2015'!C15-'2014'!C16</f>
        <v>15333</v>
      </c>
      <c r="D15" s="511">
        <f>'2015'!D15-'2014'!D16</f>
        <v>32804</v>
      </c>
      <c r="E15" s="536">
        <f>'2015'!E15-'2014'!E16</f>
        <v>49239</v>
      </c>
      <c r="F15" s="541">
        <f>'2015'!F15-'2014'!F16</f>
        <v>21789.396612614131</v>
      </c>
      <c r="G15" s="512">
        <f>'2015'!G15-'2014'!G16</f>
        <v>31124.791916622373</v>
      </c>
      <c r="H15" s="512">
        <f>'2015'!H15-'2014'!H16</f>
        <v>-12136.838967805321</v>
      </c>
      <c r="I15" s="542">
        <f>'2015'!I15-'2014'!I16</f>
        <v>40777.349561431212</v>
      </c>
      <c r="J15" s="550">
        <f>'2015'!J15-'2014'!J16</f>
        <v>22891</v>
      </c>
      <c r="K15" s="513">
        <f>'2015'!K15-'2014'!K16</f>
        <v>46457.791916622315</v>
      </c>
      <c r="L15" s="513">
        <f>'2015'!L15-'2014'!L16</f>
        <v>20667.161032194737</v>
      </c>
      <c r="M15" s="551">
        <f>'2015'!M15-'2014'!M16</f>
        <v>90016.349561431212</v>
      </c>
      <c r="N15" s="559">
        <f>'2015'!N15-'2014'!N16</f>
        <v>0</v>
      </c>
      <c r="O15" s="560">
        <f>'2015'!O15-'2014'!O16</f>
        <v>0</v>
      </c>
      <c r="Q15" s="525" t="s">
        <v>17</v>
      </c>
      <c r="R15" s="567">
        <f>IFERROR(B15/'2014'!B16,"")</f>
        <v>3.9024597536705076E-3</v>
      </c>
      <c r="S15" s="567">
        <f>IFERROR(C15/'2014'!C16,"")</f>
        <v>2.6137339933723358E-2</v>
      </c>
      <c r="T15" s="567">
        <f>IFERROR(D15/'2014'!D16,"")</f>
        <v>5.7603629990974188E-2</v>
      </c>
      <c r="U15" s="567">
        <f>IFERROR(E15/'2014'!E16,"")</f>
        <v>3.4229500811959156E-2</v>
      </c>
      <c r="V15" s="568">
        <f>IFERROR(F15/'2014'!F16,"")</f>
        <v>0.33516165541676063</v>
      </c>
      <c r="W15" s="568">
        <f>IFERROR(G15/'2014'!G16,"")</f>
        <v>0.17758074618745204</v>
      </c>
      <c r="X15" s="568">
        <f>IFERROR(H15/'2014'!H16,"")</f>
        <v>-4.1932888974555466E-2</v>
      </c>
      <c r="Y15" s="568">
        <f>IFERROR(I15/'2014'!I16,"")</f>
        <v>7.6979405023922545E-2</v>
      </c>
      <c r="Z15" s="569">
        <f>IFERROR(J15/'2014'!J16,"")</f>
        <v>6.5892722468177706E-2</v>
      </c>
      <c r="AA15" s="569">
        <f>IFERROR(K15/'2014'!K16,"")</f>
        <v>6.0975976244397538E-2</v>
      </c>
      <c r="AB15" s="569">
        <f>IFERROR(L15/'2014'!L16,"")</f>
        <v>2.4062000350386435E-2</v>
      </c>
      <c r="AC15" s="569">
        <f>IFERROR(M15/'2014'!M16,"")</f>
        <v>4.5735049922742507E-2</v>
      </c>
      <c r="AD15" s="570" t="str">
        <f>IFERROR(N15/'2014'!N16,"")</f>
        <v/>
      </c>
      <c r="AE15" s="570" t="str">
        <f>IFERROR(O15/'2014'!O16,"")</f>
        <v/>
      </c>
    </row>
    <row r="16" spans="1:31" ht="15" customHeight="1" x14ac:dyDescent="0.3">
      <c r="A16" s="526" t="s">
        <v>18</v>
      </c>
      <c r="B16" s="530">
        <f>'2015'!B16-'2014'!B17</f>
        <v>9213</v>
      </c>
      <c r="C16" s="511">
        <f>'2015'!C16-'2014'!C17</f>
        <v>3124</v>
      </c>
      <c r="D16" s="511">
        <f>'2015'!D16-'2014'!D17</f>
        <v>9905</v>
      </c>
      <c r="E16" s="536">
        <f>'2015'!E16-'2014'!E17</f>
        <v>22242</v>
      </c>
      <c r="F16" s="541">
        <f>'2015'!F16-'2014'!F17</f>
        <v>0</v>
      </c>
      <c r="G16" s="512">
        <f>'2015'!G16-'2014'!G17</f>
        <v>0</v>
      </c>
      <c r="H16" s="512">
        <f>'2015'!H16-'2014'!H17</f>
        <v>0</v>
      </c>
      <c r="I16" s="542">
        <f>'2015'!I16-'2014'!I17</f>
        <v>0</v>
      </c>
      <c r="J16" s="550">
        <f>'2015'!J16-'2014'!J17</f>
        <v>0</v>
      </c>
      <c r="K16" s="513">
        <f>'2015'!K16-'2014'!K17</f>
        <v>0</v>
      </c>
      <c r="L16" s="513">
        <f>'2015'!L16-'2014'!L17</f>
        <v>0</v>
      </c>
      <c r="M16" s="551">
        <f>'2015'!M16-'2014'!M17</f>
        <v>0</v>
      </c>
      <c r="N16" s="559">
        <f>'2015'!N16-'2014'!N17</f>
        <v>0</v>
      </c>
      <c r="O16" s="560">
        <f>'2015'!O16-'2014'!O17</f>
        <v>0</v>
      </c>
      <c r="Q16" s="526" t="s">
        <v>18</v>
      </c>
      <c r="R16" s="567">
        <f>IFERROR(B16/'2014'!B17,"")</f>
        <v>6.6227212605670258E-2</v>
      </c>
      <c r="S16" s="567">
        <f>IFERROR(C16/'2014'!C17,"")</f>
        <v>1.0346255112686085E-2</v>
      </c>
      <c r="T16" s="567">
        <f>IFERROR(D16/'2014'!D17,"")</f>
        <v>3.5010515525864656E-2</v>
      </c>
      <c r="U16" s="567">
        <f>IFERROR(E16/'2014'!E17,"")</f>
        <v>3.0722182625847409E-2</v>
      </c>
      <c r="V16" s="568" t="str">
        <f>IFERROR(F16/'2014'!F17,"")</f>
        <v/>
      </c>
      <c r="W16" s="568" t="str">
        <f>IFERROR(G16/'2014'!G17,"")</f>
        <v/>
      </c>
      <c r="X16" s="568" t="str">
        <f>IFERROR(H16/'2014'!H17,"")</f>
        <v/>
      </c>
      <c r="Y16" s="568" t="str">
        <f>IFERROR(I16/'2014'!I17,"")</f>
        <v/>
      </c>
      <c r="Z16" s="569" t="str">
        <f>IFERROR(J16/'2014'!J17,"")</f>
        <v/>
      </c>
      <c r="AA16" s="569" t="str">
        <f>IFERROR(K16/'2014'!K17,"")</f>
        <v/>
      </c>
      <c r="AB16" s="569" t="str">
        <f>IFERROR(L16/'2014'!L17,"")</f>
        <v/>
      </c>
      <c r="AC16" s="569" t="str">
        <f>IFERROR(M16/'2014'!M17,"")</f>
        <v/>
      </c>
      <c r="AD16" s="570" t="str">
        <f>IFERROR(N16/'2014'!N17,"")</f>
        <v/>
      </c>
      <c r="AE16" s="570" t="str">
        <f>IFERROR(O16/'2014'!O17,"")</f>
        <v/>
      </c>
    </row>
    <row r="17" spans="1:31" ht="15" customHeight="1" x14ac:dyDescent="0.3">
      <c r="A17" s="526" t="s">
        <v>19</v>
      </c>
      <c r="B17" s="530">
        <f>'2015'!B17-'2014'!B18</f>
        <v>-8111</v>
      </c>
      <c r="C17" s="511">
        <f>'2015'!C17-'2014'!C18</f>
        <v>12209</v>
      </c>
      <c r="D17" s="511">
        <f>'2015'!D17-'2014'!D18</f>
        <v>22899</v>
      </c>
      <c r="E17" s="536">
        <f>'2015'!E17-'2014'!E18</f>
        <v>26997</v>
      </c>
      <c r="F17" s="541">
        <f>'2015'!F17-'2014'!F18</f>
        <v>0</v>
      </c>
      <c r="G17" s="512">
        <f>'2015'!G17-'2014'!G18</f>
        <v>0</v>
      </c>
      <c r="H17" s="512">
        <f>'2015'!H17-'2014'!H18</f>
        <v>0</v>
      </c>
      <c r="I17" s="542">
        <f>'2015'!I17-'2014'!I18</f>
        <v>0</v>
      </c>
      <c r="J17" s="550">
        <f>'2015'!J17-'2014'!J18</f>
        <v>0</v>
      </c>
      <c r="K17" s="513">
        <f>'2015'!K17-'2014'!K18</f>
        <v>0</v>
      </c>
      <c r="L17" s="513">
        <f>'2015'!L17-'2014'!L18</f>
        <v>0</v>
      </c>
      <c r="M17" s="551">
        <f>'2015'!M17-'2014'!M18</f>
        <v>0</v>
      </c>
      <c r="N17" s="559">
        <f>'2015'!N17-'2014'!N18</f>
        <v>0</v>
      </c>
      <c r="O17" s="560">
        <f>'2015'!O17-'2014'!O18</f>
        <v>0</v>
      </c>
      <c r="Q17" s="526" t="s">
        <v>19</v>
      </c>
      <c r="R17" s="567">
        <f>IFERROR(B17/'2014'!B18,"")</f>
        <v>-5.6611806747909603E-2</v>
      </c>
      <c r="S17" s="567">
        <f>IFERROR(C17/'2014'!C18,"")</f>
        <v>4.2885695518235817E-2</v>
      </c>
      <c r="T17" s="567">
        <f>IFERROR(D17/'2014'!D18,"")</f>
        <v>7.9909129929544284E-2</v>
      </c>
      <c r="U17" s="567">
        <f>IFERROR(E17/'2014'!E18,"")</f>
        <v>3.7783195525972535E-2</v>
      </c>
      <c r="V17" s="568" t="str">
        <f>IFERROR(F17/'2014'!F18,"")</f>
        <v/>
      </c>
      <c r="W17" s="568" t="str">
        <f>IFERROR(G17/'2014'!G18,"")</f>
        <v/>
      </c>
      <c r="X17" s="568" t="str">
        <f>IFERROR(H17/'2014'!H18,"")</f>
        <v/>
      </c>
      <c r="Y17" s="568" t="str">
        <f>IFERROR(I17/'2014'!I18,"")</f>
        <v/>
      </c>
      <c r="Z17" s="569" t="str">
        <f>IFERROR(J17/'2014'!J18,"")</f>
        <v/>
      </c>
      <c r="AA17" s="569" t="str">
        <f>IFERROR(K17/'2014'!K18,"")</f>
        <v/>
      </c>
      <c r="AB17" s="569" t="str">
        <f>IFERROR(L17/'2014'!L18,"")</f>
        <v/>
      </c>
      <c r="AC17" s="569" t="str">
        <f>IFERROR(M17/'2014'!M18,"")</f>
        <v/>
      </c>
      <c r="AD17" s="570" t="str">
        <f>IFERROR(N17/'2014'!N18,"")</f>
        <v/>
      </c>
      <c r="AE17" s="570" t="str">
        <f>IFERROR(O17/'2014'!O18,"")</f>
        <v/>
      </c>
    </row>
    <row r="18" spans="1:31" ht="15" customHeight="1" x14ac:dyDescent="0.3">
      <c r="A18" s="525" t="s">
        <v>20</v>
      </c>
      <c r="B18" s="530">
        <f>'2015'!B18-'2014'!B19</f>
        <v>34499</v>
      </c>
      <c r="C18" s="511">
        <f>'2015'!C18-'2014'!C19</f>
        <v>25839.95784140774</v>
      </c>
      <c r="D18" s="511">
        <f>'2015'!D18-'2014'!D19</f>
        <v>-37264.966004858841</v>
      </c>
      <c r="E18" s="536">
        <f>'2015'!E18-'2014'!E19</f>
        <v>23073.991836548783</v>
      </c>
      <c r="F18" s="541">
        <f>'2015'!F18-'2014'!F19</f>
        <v>23886.092367960839</v>
      </c>
      <c r="G18" s="512">
        <f>'2015'!G18-'2014'!G19</f>
        <v>28581.694601722353</v>
      </c>
      <c r="H18" s="512">
        <f>'2015'!H18-'2014'!H19</f>
        <v>-45178.223113176995</v>
      </c>
      <c r="I18" s="542">
        <f>'2015'!I18-'2014'!I19</f>
        <v>7289.5638565062545</v>
      </c>
      <c r="J18" s="550">
        <f>'2015'!J18-'2014'!J19</f>
        <v>58385.092367960839</v>
      </c>
      <c r="K18" s="513">
        <f>'2015'!K18-'2014'!K19</f>
        <v>54421.652443130035</v>
      </c>
      <c r="L18" s="513">
        <f>'2015'!L18-'2014'!L19</f>
        <v>-82443.18911803572</v>
      </c>
      <c r="M18" s="551">
        <f>'2015'!M18-'2014'!M19</f>
        <v>30363.555693055037</v>
      </c>
      <c r="N18" s="559">
        <f>'2015'!N18-'2014'!N19</f>
        <v>0</v>
      </c>
      <c r="O18" s="560">
        <f>'2015'!O18-'2014'!O19</f>
        <v>0</v>
      </c>
      <c r="Q18" s="525" t="s">
        <v>20</v>
      </c>
      <c r="R18" s="567">
        <f>IFERROR(B18/'2014'!B19,"")</f>
        <v>9.5374875594382388E-2</v>
      </c>
      <c r="S18" s="567">
        <f>IFERROR(C18/'2014'!C19,"")</f>
        <v>3.6336424430108857E-2</v>
      </c>
      <c r="T18" s="567">
        <f>IFERROR(D18/'2014'!D19,"")</f>
        <v>-4.8028981105265392E-2</v>
      </c>
      <c r="U18" s="567">
        <f>IFERROR(E18/'2014'!E19,"")</f>
        <v>1.2480955548303696E-2</v>
      </c>
      <c r="V18" s="568">
        <f>IFERROR(F18/'2014'!F19,"")</f>
        <v>0.30068884088189429</v>
      </c>
      <c r="W18" s="568">
        <f>IFERROR(G18/'2014'!G19,"")</f>
        <v>0.13346370978755961</v>
      </c>
      <c r="X18" s="568">
        <f>IFERROR(H18/'2014'!H19,"")</f>
        <v>-0.1274715016523012</v>
      </c>
      <c r="Y18" s="568">
        <f>IFERROR(I18/'2014'!I19,"")</f>
        <v>1.1249163129303675E-2</v>
      </c>
      <c r="Z18" s="569">
        <f>IFERROR(J18/'2014'!J19,"")</f>
        <v>0.13234511125811815</v>
      </c>
      <c r="AA18" s="569">
        <f>IFERROR(K18/'2014'!K19,"")</f>
        <v>5.8816141293680409E-2</v>
      </c>
      <c r="AB18" s="569">
        <f>IFERROR(L18/'2014'!L19,"")</f>
        <v>-7.2939002059079078E-2</v>
      </c>
      <c r="AC18" s="569">
        <f>IFERROR(M18/'2014'!M19,"")</f>
        <v>1.2161254108450476E-2</v>
      </c>
      <c r="AD18" s="570" t="str">
        <f>IFERROR(N18/'2014'!N19,"")</f>
        <v/>
      </c>
      <c r="AE18" s="570" t="str">
        <f>IFERROR(O18/'2014'!O19,"")</f>
        <v/>
      </c>
    </row>
    <row r="19" spans="1:31" ht="15" customHeight="1" x14ac:dyDescent="0.3">
      <c r="A19" s="526" t="s">
        <v>21</v>
      </c>
      <c r="B19" s="530">
        <f>'2015'!B19-'2014'!B20</f>
        <v>5232</v>
      </c>
      <c r="C19" s="511">
        <f>'2015'!C19-'2014'!C20</f>
        <v>32358.95784140774</v>
      </c>
      <c r="D19" s="511">
        <f>'2015'!D19-'2014'!D20</f>
        <v>-17905.966004858841</v>
      </c>
      <c r="E19" s="536">
        <f>'2015'!E19-'2014'!E20</f>
        <v>19684.991836548899</v>
      </c>
      <c r="F19" s="541">
        <f>'2015'!F19-'2014'!F20</f>
        <v>0</v>
      </c>
      <c r="G19" s="512">
        <f>'2015'!G19-'2014'!G20</f>
        <v>0</v>
      </c>
      <c r="H19" s="512">
        <f>'2015'!H19-'2014'!H20</f>
        <v>0</v>
      </c>
      <c r="I19" s="542">
        <f>'2015'!I19-'2014'!I20</f>
        <v>0</v>
      </c>
      <c r="J19" s="550">
        <f>'2015'!J19-'2014'!J20</f>
        <v>0</v>
      </c>
      <c r="K19" s="513">
        <f>'2015'!K19-'2014'!K20</f>
        <v>0</v>
      </c>
      <c r="L19" s="513">
        <f>'2015'!L19-'2014'!L20</f>
        <v>0</v>
      </c>
      <c r="M19" s="551">
        <f>'2015'!M19-'2014'!M20</f>
        <v>0</v>
      </c>
      <c r="N19" s="559">
        <f>'2015'!N19-'2014'!N20</f>
        <v>0</v>
      </c>
      <c r="O19" s="560">
        <f>'2015'!O19-'2014'!O20</f>
        <v>0</v>
      </c>
      <c r="Q19" s="526" t="s">
        <v>21</v>
      </c>
      <c r="R19" s="567">
        <f>IFERROR(B19/'2014'!B20,"")</f>
        <v>3.12516799569931E-2</v>
      </c>
      <c r="S19" s="567">
        <f>IFERROR(C19/'2014'!C20,"")</f>
        <v>0.10162510510311304</v>
      </c>
      <c r="T19" s="567">
        <f>IFERROR(D19/'2014'!D20,"")</f>
        <v>-4.5951969258004502E-2</v>
      </c>
      <c r="U19" s="567">
        <f>IFERROR(E19/'2014'!E20,"")</f>
        <v>2.2484362409635784E-2</v>
      </c>
      <c r="V19" s="568" t="str">
        <f>IFERROR(F19/'2014'!F20,"")</f>
        <v/>
      </c>
      <c r="W19" s="568" t="str">
        <f>IFERROR(G19/'2014'!G20,"")</f>
        <v/>
      </c>
      <c r="X19" s="568" t="str">
        <f>IFERROR(H19/'2014'!H20,"")</f>
        <v/>
      </c>
      <c r="Y19" s="568" t="str">
        <f>IFERROR(I19/'2014'!I20,"")</f>
        <v/>
      </c>
      <c r="Z19" s="569" t="str">
        <f>IFERROR(J19/'2014'!J20,"")</f>
        <v/>
      </c>
      <c r="AA19" s="569" t="str">
        <f>IFERROR(K19/'2014'!K20,"")</f>
        <v/>
      </c>
      <c r="AB19" s="569" t="str">
        <f>IFERROR(L19/'2014'!L20,"")</f>
        <v/>
      </c>
      <c r="AC19" s="569" t="str">
        <f>IFERROR(M19/'2014'!M20,"")</f>
        <v/>
      </c>
      <c r="AD19" s="570" t="str">
        <f>IFERROR(N19/'2014'!N20,"")</f>
        <v/>
      </c>
      <c r="AE19" s="570" t="str">
        <f>IFERROR(O19/'2014'!O20,"")</f>
        <v/>
      </c>
    </row>
    <row r="20" spans="1:31" ht="15" customHeight="1" x14ac:dyDescent="0.3">
      <c r="A20" s="526" t="s">
        <v>22</v>
      </c>
      <c r="B20" s="530">
        <f>'2015'!B20-'2014'!B21</f>
        <v>29267</v>
      </c>
      <c r="C20" s="511">
        <f>'2015'!C20-'2014'!C21</f>
        <v>-6519</v>
      </c>
      <c r="D20" s="511">
        <f>'2015'!D20-'2014'!D21</f>
        <v>-19359</v>
      </c>
      <c r="E20" s="536">
        <f>'2015'!E20-'2014'!E21</f>
        <v>3389</v>
      </c>
      <c r="F20" s="541">
        <f>'2015'!F20-'2014'!F21</f>
        <v>0</v>
      </c>
      <c r="G20" s="512">
        <f>'2015'!G20-'2014'!G21</f>
        <v>0</v>
      </c>
      <c r="H20" s="512">
        <f>'2015'!H20-'2014'!H21</f>
        <v>0</v>
      </c>
      <c r="I20" s="542">
        <f>'2015'!I20-'2014'!I21</f>
        <v>0</v>
      </c>
      <c r="J20" s="550">
        <f>'2015'!J20-'2014'!J21</f>
        <v>0</v>
      </c>
      <c r="K20" s="513">
        <f>'2015'!K20-'2014'!K21</f>
        <v>0</v>
      </c>
      <c r="L20" s="513">
        <f>'2015'!L20-'2014'!L21</f>
        <v>0</v>
      </c>
      <c r="M20" s="551">
        <f>'2015'!M20-'2014'!M21</f>
        <v>0</v>
      </c>
      <c r="N20" s="559">
        <f>'2015'!N20-'2014'!N21</f>
        <v>0</v>
      </c>
      <c r="O20" s="560">
        <f>'2015'!O20-'2014'!O21</f>
        <v>0</v>
      </c>
      <c r="Q20" s="526" t="s">
        <v>22</v>
      </c>
      <c r="R20" s="567">
        <f>IFERROR(B20/'2014'!B21,"")</f>
        <v>0.15062401893929647</v>
      </c>
      <c r="S20" s="567">
        <f>IFERROR(C20/'2014'!C21,"")</f>
        <v>-1.6599782030780514E-2</v>
      </c>
      <c r="T20" s="567">
        <f>IFERROR(D20/'2014'!D21,"")</f>
        <v>-5.0124541062301603E-2</v>
      </c>
      <c r="U20" s="567">
        <f>IFERROR(E20/'2014'!E21,"")</f>
        <v>3.482186800981054E-3</v>
      </c>
      <c r="V20" s="568" t="str">
        <f>IFERROR(F20/'2014'!F21,"")</f>
        <v/>
      </c>
      <c r="W20" s="568" t="str">
        <f>IFERROR(G20/'2014'!G21,"")</f>
        <v/>
      </c>
      <c r="X20" s="568" t="str">
        <f>IFERROR(H20/'2014'!H21,"")</f>
        <v/>
      </c>
      <c r="Y20" s="568" t="str">
        <f>IFERROR(I20/'2014'!I21,"")</f>
        <v/>
      </c>
      <c r="Z20" s="569" t="str">
        <f>IFERROR(J20/'2014'!J21,"")</f>
        <v/>
      </c>
      <c r="AA20" s="569" t="str">
        <f>IFERROR(K20/'2014'!K21,"")</f>
        <v/>
      </c>
      <c r="AB20" s="569" t="str">
        <f>IFERROR(L20/'2014'!L21,"")</f>
        <v/>
      </c>
      <c r="AC20" s="569" t="str">
        <f>IFERROR(M20/'2014'!M21,"")</f>
        <v/>
      </c>
      <c r="AD20" s="570" t="str">
        <f>IFERROR(N20/'2014'!N21,"")</f>
        <v/>
      </c>
      <c r="AE20" s="570" t="str">
        <f>IFERROR(O20/'2014'!O21,"")</f>
        <v/>
      </c>
    </row>
    <row r="21" spans="1:31" ht="15" customHeight="1" x14ac:dyDescent="0.3">
      <c r="A21" s="525" t="s">
        <v>23</v>
      </c>
      <c r="B21" s="530">
        <f>'2015'!B21-'2014'!B22</f>
        <v>22926</v>
      </c>
      <c r="C21" s="511">
        <f>'2015'!C21-'2014'!C22</f>
        <v>11206</v>
      </c>
      <c r="D21" s="511">
        <f>'2015'!D21-'2014'!D22</f>
        <v>12135</v>
      </c>
      <c r="E21" s="536">
        <f>'2015'!E21-'2014'!E22</f>
        <v>46267</v>
      </c>
      <c r="F21" s="541">
        <f>'2015'!F21-'2014'!F22</f>
        <v>20246.759887714841</v>
      </c>
      <c r="G21" s="512">
        <f>'2015'!G21-'2014'!G22</f>
        <v>23893.024321286182</v>
      </c>
      <c r="H21" s="512">
        <f>'2015'!H21-'2014'!H22</f>
        <v>-36851.64342621027</v>
      </c>
      <c r="I21" s="542">
        <f>'2015'!I21-'2014'!I22</f>
        <v>7288.1407827907242</v>
      </c>
      <c r="J21" s="550">
        <f>'2015'!J21-'2014'!J22</f>
        <v>43173</v>
      </c>
      <c r="K21" s="513">
        <f>'2015'!K21-'2014'!K22</f>
        <v>35099.024321286241</v>
      </c>
      <c r="L21" s="513">
        <f>'2015'!L21-'2014'!L22</f>
        <v>-24716.64342621027</v>
      </c>
      <c r="M21" s="551">
        <f>'2015'!M21-'2014'!M22</f>
        <v>53555.140782790724</v>
      </c>
      <c r="N21" s="559">
        <f>'2015'!N21-'2014'!N22</f>
        <v>0</v>
      </c>
      <c r="O21" s="560">
        <f>'2015'!O21-'2014'!O22</f>
        <v>0</v>
      </c>
      <c r="Q21" s="525" t="s">
        <v>23</v>
      </c>
      <c r="R21" s="567">
        <f>IFERROR(B21/'2014'!B22,"")</f>
        <v>6.5150300942897574E-2</v>
      </c>
      <c r="S21" s="567">
        <f>IFERROR(C21/'2014'!C22,"")</f>
        <v>1.794151316474139E-2</v>
      </c>
      <c r="T21" s="567">
        <f>IFERROR(D21/'2014'!D22,"")</f>
        <v>2.3071614214471899E-2</v>
      </c>
      <c r="U21" s="567">
        <f>IFERROR(E21/'2014'!E22,"")</f>
        <v>3.0794369196978269E-2</v>
      </c>
      <c r="V21" s="568">
        <f>IFERROR(F21/'2014'!F22,"")</f>
        <v>0.25979620324451524</v>
      </c>
      <c r="W21" s="568">
        <f>IFERROR(G21/'2014'!G22,"")</f>
        <v>0.1316630619961382</v>
      </c>
      <c r="X21" s="568">
        <f>IFERROR(H21/'2014'!H22,"")</f>
        <v>-0.15489438941424338</v>
      </c>
      <c r="Y21" s="568">
        <f>IFERROR(I21/'2014'!I22,"")</f>
        <v>1.4654865078437638E-2</v>
      </c>
      <c r="Z21" s="569">
        <f>IFERROR(J21/'2014'!J22,"")</f>
        <v>0.10044273626365957</v>
      </c>
      <c r="AA21" s="569">
        <f>IFERROR(K21/'2014'!K22,"")</f>
        <v>4.35441524910627E-2</v>
      </c>
      <c r="AB21" s="569">
        <f>IFERROR(L21/'2014'!L22,"")</f>
        <v>-3.2356470682378839E-2</v>
      </c>
      <c r="AC21" s="569">
        <f>IFERROR(M21/'2014'!M22,"")</f>
        <v>2.6780665443382482E-2</v>
      </c>
      <c r="AD21" s="570" t="str">
        <f>IFERROR(N21/'2014'!N22,"")</f>
        <v/>
      </c>
      <c r="AE21" s="570" t="str">
        <f>IFERROR(O21/'2014'!O22,"")</f>
        <v/>
      </c>
    </row>
    <row r="22" spans="1:31" ht="15" customHeight="1" x14ac:dyDescent="0.3">
      <c r="A22" s="526" t="s">
        <v>24</v>
      </c>
      <c r="B22" s="530">
        <f>'2015'!B22-'2014'!B23</f>
        <v>20775</v>
      </c>
      <c r="C22" s="511">
        <f>'2015'!C22-'2014'!C23</f>
        <v>4326</v>
      </c>
      <c r="D22" s="511">
        <f>'2015'!D22-'2014'!D23</f>
        <v>11321</v>
      </c>
      <c r="E22" s="536">
        <f>'2015'!E22-'2014'!E23</f>
        <v>36422</v>
      </c>
      <c r="F22" s="541">
        <f>'2015'!F22-'2014'!F23</f>
        <v>0</v>
      </c>
      <c r="G22" s="512">
        <f>'2015'!G22-'2014'!G23</f>
        <v>0</v>
      </c>
      <c r="H22" s="512">
        <f>'2015'!H22-'2014'!H23</f>
        <v>0</v>
      </c>
      <c r="I22" s="542">
        <f>'2015'!I22-'2014'!I23</f>
        <v>0</v>
      </c>
      <c r="J22" s="550">
        <f>'2015'!J22-'2014'!J23</f>
        <v>0</v>
      </c>
      <c r="K22" s="513">
        <f>'2015'!K22-'2014'!K23</f>
        <v>0</v>
      </c>
      <c r="L22" s="513">
        <f>'2015'!L22-'2014'!L23</f>
        <v>0</v>
      </c>
      <c r="M22" s="551">
        <f>'2015'!M22-'2014'!M23</f>
        <v>0</v>
      </c>
      <c r="N22" s="559">
        <f>'2015'!N22-'2014'!N23</f>
        <v>0</v>
      </c>
      <c r="O22" s="560">
        <f>'2015'!O22-'2014'!O23</f>
        <v>0</v>
      </c>
      <c r="Q22" s="526" t="s">
        <v>24</v>
      </c>
      <c r="R22" s="567">
        <f>IFERROR(B22/'2014'!B23,"")</f>
        <v>0.13639407547467108</v>
      </c>
      <c r="S22" s="567">
        <f>IFERROR(C22/'2014'!C23,"")</f>
        <v>1.4468130647955532E-2</v>
      </c>
      <c r="T22" s="567">
        <f>IFERROR(D22/'2014'!D23,"")</f>
        <v>4.6283160877012959E-2</v>
      </c>
      <c r="U22" s="567">
        <f>IFERROR(E22/'2014'!E23,"")</f>
        <v>5.233640025232749E-2</v>
      </c>
      <c r="V22" s="568" t="str">
        <f>IFERROR(F22/'2014'!F23,"")</f>
        <v/>
      </c>
      <c r="W22" s="568" t="str">
        <f>IFERROR(G22/'2014'!G23,"")</f>
        <v/>
      </c>
      <c r="X22" s="568" t="str">
        <f>IFERROR(H22/'2014'!H23,"")</f>
        <v/>
      </c>
      <c r="Y22" s="568" t="str">
        <f>IFERROR(I22/'2014'!I23,"")</f>
        <v/>
      </c>
      <c r="Z22" s="569" t="str">
        <f>IFERROR(J22/'2014'!J23,"")</f>
        <v/>
      </c>
      <c r="AA22" s="569" t="str">
        <f>IFERROR(K22/'2014'!K23,"")</f>
        <v/>
      </c>
      <c r="AB22" s="569" t="str">
        <f>IFERROR(L22/'2014'!L23,"")</f>
        <v/>
      </c>
      <c r="AC22" s="569" t="str">
        <f>IFERROR(M22/'2014'!M23,"")</f>
        <v/>
      </c>
      <c r="AD22" s="570" t="str">
        <f>IFERROR(N22/'2014'!N23,"")</f>
        <v/>
      </c>
      <c r="AE22" s="570" t="str">
        <f>IFERROR(O22/'2014'!O23,"")</f>
        <v/>
      </c>
    </row>
    <row r="23" spans="1:31" ht="15" customHeight="1" x14ac:dyDescent="0.3">
      <c r="A23" s="526" t="s">
        <v>25</v>
      </c>
      <c r="B23" s="530">
        <f>'2015'!B23-'2014'!B24</f>
        <v>2151</v>
      </c>
      <c r="C23" s="511">
        <f>'2015'!C23-'2014'!C24</f>
        <v>6880</v>
      </c>
      <c r="D23" s="511">
        <f>'2015'!D23-'2014'!D24</f>
        <v>814</v>
      </c>
      <c r="E23" s="536">
        <f>'2015'!E23-'2014'!E24</f>
        <v>9845</v>
      </c>
      <c r="F23" s="541">
        <f>'2015'!F23-'2014'!F24</f>
        <v>0</v>
      </c>
      <c r="G23" s="512">
        <f>'2015'!G23-'2014'!G24</f>
        <v>0</v>
      </c>
      <c r="H23" s="512">
        <f>'2015'!H23-'2014'!H24</f>
        <v>0</v>
      </c>
      <c r="I23" s="542">
        <f>'2015'!I23-'2014'!I24</f>
        <v>0</v>
      </c>
      <c r="J23" s="550">
        <f>'2015'!J23-'2014'!J24</f>
        <v>0</v>
      </c>
      <c r="K23" s="513">
        <f>'2015'!K23-'2014'!K24</f>
        <v>0</v>
      </c>
      <c r="L23" s="513">
        <f>'2015'!L23-'2014'!L24</f>
        <v>0</v>
      </c>
      <c r="M23" s="551">
        <f>'2015'!M23-'2014'!M24</f>
        <v>0</v>
      </c>
      <c r="N23" s="559">
        <f>'2015'!N23-'2014'!N24</f>
        <v>0</v>
      </c>
      <c r="O23" s="560">
        <f>'2015'!O23-'2014'!O24</f>
        <v>0</v>
      </c>
      <c r="Q23" s="526" t="s">
        <v>25</v>
      </c>
      <c r="R23" s="567">
        <f>IFERROR(B23/'2014'!B24,"")</f>
        <v>1.0777741033580856E-2</v>
      </c>
      <c r="S23" s="567">
        <f>IFERROR(C23/'2014'!C24,"")</f>
        <v>2.1131324424186766E-2</v>
      </c>
      <c r="T23" s="567">
        <f>IFERROR(D23/'2014'!D24,"")</f>
        <v>2.8930084444570812E-3</v>
      </c>
      <c r="U23" s="567">
        <f>IFERROR(E23/'2014'!E24,"")</f>
        <v>1.2206628651914563E-2</v>
      </c>
      <c r="V23" s="568" t="str">
        <f>IFERROR(F23/'2014'!F24,"")</f>
        <v/>
      </c>
      <c r="W23" s="568" t="str">
        <f>IFERROR(G23/'2014'!G24,"")</f>
        <v/>
      </c>
      <c r="X23" s="568" t="str">
        <f>IFERROR(H23/'2014'!H24,"")</f>
        <v/>
      </c>
      <c r="Y23" s="568" t="str">
        <f>IFERROR(I23/'2014'!I24,"")</f>
        <v/>
      </c>
      <c r="Z23" s="569" t="str">
        <f>IFERROR(J23/'2014'!J24,"")</f>
        <v/>
      </c>
      <c r="AA23" s="569" t="str">
        <f>IFERROR(K23/'2014'!K24,"")</f>
        <v/>
      </c>
      <c r="AB23" s="569" t="str">
        <f>IFERROR(L23/'2014'!L24,"")</f>
        <v/>
      </c>
      <c r="AC23" s="569" t="str">
        <f>IFERROR(M23/'2014'!M24,"")</f>
        <v/>
      </c>
      <c r="AD23" s="570" t="str">
        <f>IFERROR(N23/'2014'!N24,"")</f>
        <v/>
      </c>
      <c r="AE23" s="570" t="str">
        <f>IFERROR(O23/'2014'!O24,"")</f>
        <v/>
      </c>
    </row>
    <row r="24" spans="1:31" ht="15" customHeight="1" x14ac:dyDescent="0.3">
      <c r="A24" s="525" t="s">
        <v>26</v>
      </c>
      <c r="B24" s="530">
        <f>'2015'!B24-'2014'!B25</f>
        <v>80538.990955989924</v>
      </c>
      <c r="C24" s="511">
        <f>'2015'!C24-'2014'!C25</f>
        <v>8188</v>
      </c>
      <c r="D24" s="511">
        <f>'2015'!D24-'2014'!D25</f>
        <v>-9136</v>
      </c>
      <c r="E24" s="536">
        <f>'2015'!E24-'2014'!E25</f>
        <v>79590.990955989808</v>
      </c>
      <c r="F24" s="541">
        <f>'2015'!F24-'2014'!F25</f>
        <v>42035</v>
      </c>
      <c r="G24" s="512">
        <f>'2015'!G24-'2014'!G25</f>
        <v>36471.871731951775</v>
      </c>
      <c r="H24" s="512">
        <f>'2015'!H24-'2014'!H25</f>
        <v>-38088.202638637333</v>
      </c>
      <c r="I24" s="542">
        <f>'2015'!I24-'2014'!I25</f>
        <v>40418.669093314442</v>
      </c>
      <c r="J24" s="550">
        <f>'2015'!J24-'2014'!J25</f>
        <v>122573.99095598992</v>
      </c>
      <c r="K24" s="513">
        <f>'2015'!K24-'2014'!K25</f>
        <v>44659.871731951833</v>
      </c>
      <c r="L24" s="513">
        <f>'2015'!L24-'2014'!L25</f>
        <v>-47224.202638637275</v>
      </c>
      <c r="M24" s="551">
        <f>'2015'!M24-'2014'!M25</f>
        <v>120009.66004930437</v>
      </c>
      <c r="N24" s="559">
        <f>'2015'!N24-'2014'!N25</f>
        <v>0</v>
      </c>
      <c r="O24" s="560">
        <f>'2015'!O24-'2014'!O25</f>
        <v>0</v>
      </c>
      <c r="Q24" s="525" t="s">
        <v>26</v>
      </c>
      <c r="R24" s="567">
        <f>IFERROR(B24/'2014'!B25,"")</f>
        <v>0.1413872608657312</v>
      </c>
      <c r="S24" s="567">
        <f>IFERROR(C24/'2014'!C25,"")</f>
        <v>9.8253799114899829E-3</v>
      </c>
      <c r="T24" s="567">
        <f>IFERROR(D24/'2014'!D25,"")</f>
        <v>-1.6773951903410238E-2</v>
      </c>
      <c r="U24" s="567">
        <f>IFERROR(E24/'2014'!E25,"")</f>
        <v>4.0865350350162151E-2</v>
      </c>
      <c r="V24" s="568">
        <f>IFERROR(F24/'2014'!F25,"")</f>
        <v>0.4253564453619097</v>
      </c>
      <c r="W24" s="568">
        <f>IFERROR(G24/'2014'!G25,"")</f>
        <v>0.15117615600521153</v>
      </c>
      <c r="X24" s="568">
        <f>IFERROR(H24/'2014'!H25,"")</f>
        <v>-0.13091824559618068</v>
      </c>
      <c r="Y24" s="568">
        <f>IFERROR(I24/'2014'!I25,"")</f>
        <v>6.4054097408250563E-2</v>
      </c>
      <c r="Z24" s="569">
        <f>IFERROR(J24/'2014'!J25,"")</f>
        <v>0.18336855019244308</v>
      </c>
      <c r="AA24" s="569">
        <f>IFERROR(K24/'2014'!K25,"")</f>
        <v>4.155929373297966E-2</v>
      </c>
      <c r="AB24" s="569">
        <f>IFERROR(L24/'2014'!L25,"")</f>
        <v>-5.6516322320585857E-2</v>
      </c>
      <c r="AC24" s="569">
        <f>IFERROR(M24/'2014'!M25,"")</f>
        <v>4.6539754417426686E-2</v>
      </c>
      <c r="AD24" s="570" t="str">
        <f>IFERROR(N24/'2014'!N25,"")</f>
        <v/>
      </c>
      <c r="AE24" s="570" t="str">
        <f>IFERROR(O24/'2014'!O25,"")</f>
        <v/>
      </c>
    </row>
    <row r="25" spans="1:31" ht="15" customHeight="1" x14ac:dyDescent="0.3">
      <c r="A25" s="526" t="s">
        <v>27</v>
      </c>
      <c r="B25" s="530">
        <f>'2015'!B25-'2014'!B26</f>
        <v>56596.990955989924</v>
      </c>
      <c r="C25" s="511">
        <f>'2015'!C25-'2014'!C26</f>
        <v>5016</v>
      </c>
      <c r="D25" s="511">
        <f>'2015'!D25-'2014'!D26</f>
        <v>-20825</v>
      </c>
      <c r="E25" s="536">
        <f>'2015'!E25-'2014'!E26</f>
        <v>40787.990955989924</v>
      </c>
      <c r="F25" s="541">
        <f>'2015'!F25-'2014'!F26</f>
        <v>0</v>
      </c>
      <c r="G25" s="512">
        <f>'2015'!G25-'2014'!G26</f>
        <v>0</v>
      </c>
      <c r="H25" s="512">
        <f>'2015'!H25-'2014'!H26</f>
        <v>0</v>
      </c>
      <c r="I25" s="542">
        <f>'2015'!I25-'2014'!I26</f>
        <v>0</v>
      </c>
      <c r="J25" s="550">
        <f>'2015'!J25-'2014'!J26</f>
        <v>0</v>
      </c>
      <c r="K25" s="513">
        <f>'2015'!K25-'2014'!K26</f>
        <v>0</v>
      </c>
      <c r="L25" s="513">
        <f>'2015'!L25-'2014'!L26</f>
        <v>0</v>
      </c>
      <c r="M25" s="551">
        <f>'2015'!M25-'2014'!M26</f>
        <v>0</v>
      </c>
      <c r="N25" s="559">
        <f>'2015'!N25-'2014'!N26</f>
        <v>0</v>
      </c>
      <c r="O25" s="560">
        <f>'2015'!O25-'2014'!O26</f>
        <v>0</v>
      </c>
      <c r="Q25" s="526" t="s">
        <v>27</v>
      </c>
      <c r="R25" s="567">
        <f>IFERROR(B25/'2014'!B26,"")</f>
        <v>0.22374331780747533</v>
      </c>
      <c r="S25" s="567">
        <f>IFERROR(C25/'2014'!C26,"")</f>
        <v>1.2977772718217264E-2</v>
      </c>
      <c r="T25" s="567">
        <f>IFERROR(D25/'2014'!D26,"")</f>
        <v>-7.5461100844294665E-2</v>
      </c>
      <c r="U25" s="567">
        <f>IFERROR(E25/'2014'!E26,"")</f>
        <v>4.4556003019328494E-2</v>
      </c>
      <c r="V25" s="568" t="str">
        <f>IFERROR(F25/'2014'!F26,"")</f>
        <v/>
      </c>
      <c r="W25" s="568" t="str">
        <f>IFERROR(G25/'2014'!G26,"")</f>
        <v/>
      </c>
      <c r="X25" s="568" t="str">
        <f>IFERROR(H25/'2014'!H26,"")</f>
        <v/>
      </c>
      <c r="Y25" s="568" t="str">
        <f>IFERROR(I25/'2014'!I26,"")</f>
        <v/>
      </c>
      <c r="Z25" s="569" t="str">
        <f>IFERROR(J25/'2014'!J26,"")</f>
        <v/>
      </c>
      <c r="AA25" s="569" t="str">
        <f>IFERROR(K25/'2014'!K26,"")</f>
        <v/>
      </c>
      <c r="AB25" s="569" t="str">
        <f>IFERROR(L25/'2014'!L26,"")</f>
        <v/>
      </c>
      <c r="AC25" s="569" t="str">
        <f>IFERROR(M25/'2014'!M26,"")</f>
        <v/>
      </c>
      <c r="AD25" s="570" t="str">
        <f>IFERROR(N25/'2014'!N26,"")</f>
        <v/>
      </c>
      <c r="AE25" s="570" t="str">
        <f>IFERROR(O25/'2014'!O26,"")</f>
        <v/>
      </c>
    </row>
    <row r="26" spans="1:31" ht="15" customHeight="1" x14ac:dyDescent="0.3">
      <c r="A26" s="526" t="s">
        <v>28</v>
      </c>
      <c r="B26" s="530">
        <f>'2015'!B26-'2014'!B27</f>
        <v>23942</v>
      </c>
      <c r="C26" s="511">
        <f>'2015'!C26-'2014'!C27</f>
        <v>3172</v>
      </c>
      <c r="D26" s="511">
        <f>'2015'!D26-'2014'!D27</f>
        <v>11689</v>
      </c>
      <c r="E26" s="536">
        <f>'2015'!E26-'2014'!E27</f>
        <v>38803</v>
      </c>
      <c r="F26" s="541">
        <f>'2015'!F26-'2014'!F27</f>
        <v>0</v>
      </c>
      <c r="G26" s="512">
        <f>'2015'!G26-'2014'!G27</f>
        <v>0</v>
      </c>
      <c r="H26" s="512">
        <f>'2015'!H26-'2014'!H27</f>
        <v>0</v>
      </c>
      <c r="I26" s="542">
        <f>'2015'!I26-'2014'!I27</f>
        <v>0</v>
      </c>
      <c r="J26" s="550">
        <f>'2015'!J26-'2014'!J27</f>
        <v>0</v>
      </c>
      <c r="K26" s="513">
        <f>'2015'!K26-'2014'!K27</f>
        <v>0</v>
      </c>
      <c r="L26" s="513">
        <f>'2015'!L26-'2014'!L27</f>
        <v>0</v>
      </c>
      <c r="M26" s="551">
        <f>'2015'!M26-'2014'!M27</f>
        <v>0</v>
      </c>
      <c r="N26" s="559">
        <f>'2015'!N26-'2014'!N27</f>
        <v>0</v>
      </c>
      <c r="O26" s="560">
        <f>'2015'!O26-'2014'!O27</f>
        <v>0</v>
      </c>
      <c r="Q26" s="526" t="s">
        <v>28</v>
      </c>
      <c r="R26" s="567">
        <f>IFERROR(B26/'2014'!B27,"")</f>
        <v>7.5603371237120243E-2</v>
      </c>
      <c r="S26" s="567">
        <f>IFERROR(C26/'2014'!C27,"")</f>
        <v>7.0986583714710916E-3</v>
      </c>
      <c r="T26" s="567">
        <f>IFERROR(D26/'2014'!D27,"")</f>
        <v>4.3504637417933333E-2</v>
      </c>
      <c r="U26" s="567">
        <f>IFERROR(E26/'2014'!E27,"")</f>
        <v>3.759222947312945E-2</v>
      </c>
      <c r="V26" s="568" t="str">
        <f>IFERROR(F26/'2014'!F27,"")</f>
        <v/>
      </c>
      <c r="W26" s="568" t="str">
        <f>IFERROR(G26/'2014'!G27,"")</f>
        <v/>
      </c>
      <c r="X26" s="568" t="str">
        <f>IFERROR(H26/'2014'!H27,"")</f>
        <v/>
      </c>
      <c r="Y26" s="568" t="str">
        <f>IFERROR(I26/'2014'!I27,"")</f>
        <v/>
      </c>
      <c r="Z26" s="569" t="str">
        <f>IFERROR(J26/'2014'!J27,"")</f>
        <v/>
      </c>
      <c r="AA26" s="569" t="str">
        <f>IFERROR(K26/'2014'!K27,"")</f>
        <v/>
      </c>
      <c r="AB26" s="569" t="str">
        <f>IFERROR(L26/'2014'!L27,"")</f>
        <v/>
      </c>
      <c r="AC26" s="569" t="str">
        <f>IFERROR(M26/'2014'!M27,"")</f>
        <v/>
      </c>
      <c r="AD26" s="570" t="str">
        <f>IFERROR(N26/'2014'!N27,"")</f>
        <v/>
      </c>
      <c r="AE26" s="570" t="str">
        <f>IFERROR(O26/'2014'!O27,"")</f>
        <v/>
      </c>
    </row>
    <row r="27" spans="1:31" ht="15" customHeight="1" x14ac:dyDescent="0.3">
      <c r="A27" s="525" t="s">
        <v>29</v>
      </c>
      <c r="B27" s="530">
        <f>'2015'!B27-'2014'!B28</f>
        <v>68113.249798124656</v>
      </c>
      <c r="C27" s="511">
        <f>'2015'!C27-'2014'!C28</f>
        <v>37879.902871293714</v>
      </c>
      <c r="D27" s="511">
        <f>'2015'!D27-'2014'!D28</f>
        <v>26007.902150338981</v>
      </c>
      <c r="E27" s="536">
        <f>'2015'!E27-'2014'!E28</f>
        <v>132001.05481975712</v>
      </c>
      <c r="F27" s="541">
        <f>'2015'!F27-'2014'!F28</f>
        <v>33930.522016999923</v>
      </c>
      <c r="G27" s="512">
        <f>'2015'!G27-'2014'!G28</f>
        <v>42927.437501000473</v>
      </c>
      <c r="H27" s="512">
        <f>'2015'!H27-'2014'!H28</f>
        <v>-39884.178822998947</v>
      </c>
      <c r="I27" s="542">
        <f>'2015'!I27-'2014'!I28</f>
        <v>36973.780695001362</v>
      </c>
      <c r="J27" s="550">
        <f>'2015'!J27-'2014'!J28</f>
        <v>102044.24979812466</v>
      </c>
      <c r="K27" s="513">
        <f>'2015'!K27-'2014'!K28</f>
        <v>80806.902871293714</v>
      </c>
      <c r="L27" s="513">
        <f>'2015'!L27-'2014'!L28</f>
        <v>-13876.097849661019</v>
      </c>
      <c r="M27" s="551">
        <f>'2015'!M27-'2014'!M28</f>
        <v>168975.05481975712</v>
      </c>
      <c r="N27" s="559">
        <f>'2015'!N27-'2014'!N28</f>
        <v>38296.192350654339</v>
      </c>
      <c r="O27" s="560">
        <f>'2015'!O27-'2014'!O28</f>
        <v>-1322.4929024777957</v>
      </c>
      <c r="Q27" s="525" t="s">
        <v>29</v>
      </c>
      <c r="R27" s="567">
        <f>IFERROR(B27/'2014'!B28,"")</f>
        <v>0.12842421484740979</v>
      </c>
      <c r="S27" s="567">
        <f>IFERROR(C27/'2014'!C28,"")</f>
        <v>4.0873476273569978E-2</v>
      </c>
      <c r="T27" s="567">
        <f>IFERROR(D27/'2014'!D28,"")</f>
        <v>2.808022257648346E-2</v>
      </c>
      <c r="U27" s="567">
        <f>IFERROR(E27/'2014'!E28,"")</f>
        <v>5.5384972758681261E-2</v>
      </c>
      <c r="V27" s="568">
        <f>IFERROR(F27/'2014'!F28,"")</f>
        <v>0.30554968589376019</v>
      </c>
      <c r="W27" s="568">
        <f>IFERROR(G27/'2014'!G28,"")</f>
        <v>0.15530204963515667</v>
      </c>
      <c r="X27" s="568">
        <f>IFERROR(H27/'2014'!H28,"")</f>
        <v>-9.0712208938290531E-2</v>
      </c>
      <c r="Y27" s="568">
        <f>IFERROR(I27/'2014'!I28,"")</f>
        <v>4.4700849062528525E-2</v>
      </c>
      <c r="Z27" s="569">
        <f>IFERROR(J27/'2014'!J28,"")</f>
        <v>0.15909016469312756</v>
      </c>
      <c r="AA27" s="569">
        <f>IFERROR(K27/'2014'!K28,"")</f>
        <v>6.7161499527743487E-2</v>
      </c>
      <c r="AB27" s="569">
        <f>IFERROR(L27/'2014'!L28,"")</f>
        <v>-1.015910487588278E-2</v>
      </c>
      <c r="AC27" s="569">
        <f>IFERROR(M27/'2014'!M28,"")</f>
        <v>5.2632415707880333E-2</v>
      </c>
      <c r="AD27" s="570">
        <f>IFERROR(N27/'2014'!N28,"")</f>
        <v>9.549402770479401E-2</v>
      </c>
      <c r="AE27" s="570">
        <f>IFERROR(O27/'2014'!O28,"")</f>
        <v>-3.1036719581745251E-3</v>
      </c>
    </row>
    <row r="28" spans="1:31" ht="15" customHeight="1" x14ac:dyDescent="0.3">
      <c r="A28" s="525" t="s">
        <v>30</v>
      </c>
      <c r="B28" s="530">
        <f>'2015'!B28-'2014'!B29</f>
        <v>68113.249798124656</v>
      </c>
      <c r="C28" s="511">
        <f>'2015'!C28-'2014'!C29</f>
        <v>37879.902871293714</v>
      </c>
      <c r="D28" s="511">
        <f>'2015'!D28-'2014'!D29</f>
        <v>26007.902150338981</v>
      </c>
      <c r="E28" s="536">
        <f>'2015'!E28-'2014'!E29</f>
        <v>132001.05481975712</v>
      </c>
      <c r="F28" s="541">
        <f>'2015'!F28-'2014'!F29</f>
        <v>33930.522016999923</v>
      </c>
      <c r="G28" s="512">
        <f>'2015'!G28-'2014'!G29</f>
        <v>42927.437501000473</v>
      </c>
      <c r="H28" s="512">
        <f>'2015'!H28-'2014'!H29</f>
        <v>-39884.178822998947</v>
      </c>
      <c r="I28" s="542">
        <f>'2015'!I28-'2014'!I29</f>
        <v>36973.780695001362</v>
      </c>
      <c r="J28" s="550">
        <f>'2015'!J28-'2014'!J29</f>
        <v>102044.24979812466</v>
      </c>
      <c r="K28" s="513">
        <f>'2015'!K28-'2014'!K29</f>
        <v>80806.902871293714</v>
      </c>
      <c r="L28" s="513">
        <f>'2015'!L28-'2014'!L29</f>
        <v>-13876.097849661019</v>
      </c>
      <c r="M28" s="551">
        <f>'2015'!M28-'2014'!M29</f>
        <v>168975.05481975712</v>
      </c>
      <c r="N28" s="559">
        <f>'2015'!N28-'2014'!N29</f>
        <v>38296.192350654339</v>
      </c>
      <c r="O28" s="560">
        <f>'2015'!O28-'2014'!O29</f>
        <v>-1322.4929024777957</v>
      </c>
      <c r="Q28" s="525" t="s">
        <v>30</v>
      </c>
      <c r="R28" s="567">
        <f>IFERROR(B28/'2014'!B29,"")</f>
        <v>0.12842421484740979</v>
      </c>
      <c r="S28" s="567">
        <f>IFERROR(C28/'2014'!C29,"")</f>
        <v>4.0873476273569978E-2</v>
      </c>
      <c r="T28" s="567">
        <f>IFERROR(D28/'2014'!D29,"")</f>
        <v>2.808022257648346E-2</v>
      </c>
      <c r="U28" s="567">
        <f>IFERROR(E28/'2014'!E29,"")</f>
        <v>5.5384972758681261E-2</v>
      </c>
      <c r="V28" s="568">
        <f>IFERROR(F28/'2014'!F29,"")</f>
        <v>0.30554968589376019</v>
      </c>
      <c r="W28" s="568">
        <f>IFERROR(G28/'2014'!G29,"")</f>
        <v>0.15530204963515667</v>
      </c>
      <c r="X28" s="568">
        <f>IFERROR(H28/'2014'!H29,"")</f>
        <v>-9.0712208938290531E-2</v>
      </c>
      <c r="Y28" s="568">
        <f>IFERROR(I28/'2014'!I29,"")</f>
        <v>4.4700849062528525E-2</v>
      </c>
      <c r="Z28" s="569">
        <f>IFERROR(J28/'2014'!J29,"")</f>
        <v>0.15909016469312756</v>
      </c>
      <c r="AA28" s="569">
        <f>IFERROR(K28/'2014'!K29,"")</f>
        <v>6.7161499527743487E-2</v>
      </c>
      <c r="AB28" s="569">
        <f>IFERROR(L28/'2014'!L29,"")</f>
        <v>-1.015910487588278E-2</v>
      </c>
      <c r="AC28" s="569">
        <f>IFERROR(M28/'2014'!M29,"")</f>
        <v>5.2632415707880333E-2</v>
      </c>
      <c r="AD28" s="570">
        <f>IFERROR(N28/'2014'!N29,"")</f>
        <v>9.549402770479401E-2</v>
      </c>
      <c r="AE28" s="570">
        <f>IFERROR(O28/'2014'!O29,"")</f>
        <v>-3.1036719581745251E-3</v>
      </c>
    </row>
    <row r="29" spans="1:31" ht="15" customHeight="1" x14ac:dyDescent="0.3">
      <c r="A29" s="527"/>
      <c r="B29" s="530">
        <f>'2015'!B29-'2014'!B30</f>
        <v>0</v>
      </c>
      <c r="C29" s="511">
        <f>'2015'!C29-'2014'!C30</f>
        <v>0</v>
      </c>
      <c r="D29" s="511">
        <f>'2015'!D29-'2014'!D30</f>
        <v>0</v>
      </c>
      <c r="E29" s="536">
        <f>'2015'!E29-'2014'!E30</f>
        <v>0</v>
      </c>
      <c r="F29" s="541">
        <f>'2015'!F29-'2014'!F30</f>
        <v>0</v>
      </c>
      <c r="G29" s="512">
        <f>'2015'!G29-'2014'!G30</f>
        <v>0</v>
      </c>
      <c r="H29" s="512">
        <f>'2015'!H29-'2014'!H30</f>
        <v>0</v>
      </c>
      <c r="I29" s="542">
        <f>'2015'!I29-'2014'!I30</f>
        <v>0</v>
      </c>
      <c r="J29" s="550">
        <f>'2015'!J29-'2014'!J30</f>
        <v>0</v>
      </c>
      <c r="K29" s="513">
        <f>'2015'!K29-'2014'!K30</f>
        <v>0</v>
      </c>
      <c r="L29" s="513">
        <f>'2015'!L29-'2014'!L30</f>
        <v>0</v>
      </c>
      <c r="M29" s="551">
        <f>'2015'!M29-'2014'!M30</f>
        <v>0</v>
      </c>
      <c r="N29" s="559">
        <f>'2015'!N29-'2014'!N30</f>
        <v>0</v>
      </c>
      <c r="O29" s="560">
        <f>'2015'!O29-'2014'!O30</f>
        <v>0</v>
      </c>
      <c r="Q29" s="527"/>
      <c r="R29" s="567" t="str">
        <f>IFERROR(B29/'2014'!B30,"")</f>
        <v/>
      </c>
      <c r="S29" s="567" t="str">
        <f>IFERROR(C29/'2014'!C30,"")</f>
        <v/>
      </c>
      <c r="T29" s="567" t="str">
        <f>IFERROR(D29/'2014'!D30,"")</f>
        <v/>
      </c>
      <c r="U29" s="567" t="str">
        <f>IFERROR(E29/'2014'!E30,"")</f>
        <v/>
      </c>
      <c r="V29" s="568" t="str">
        <f>IFERROR(F29/'2014'!F30,"")</f>
        <v/>
      </c>
      <c r="W29" s="568" t="str">
        <f>IFERROR(G29/'2014'!G30,"")</f>
        <v/>
      </c>
      <c r="X29" s="568" t="str">
        <f>IFERROR(H29/'2014'!H30,"")</f>
        <v/>
      </c>
      <c r="Y29" s="568" t="str">
        <f>IFERROR(I29/'2014'!I30,"")</f>
        <v/>
      </c>
      <c r="Z29" s="569" t="str">
        <f>IFERROR(J29/'2014'!J30,"")</f>
        <v/>
      </c>
      <c r="AA29" s="569" t="str">
        <f>IFERROR(K29/'2014'!K30,"")</f>
        <v/>
      </c>
      <c r="AB29" s="569" t="str">
        <f>IFERROR(L29/'2014'!L30,"")</f>
        <v/>
      </c>
      <c r="AC29" s="569" t="str">
        <f>IFERROR(M29/'2014'!M30,"")</f>
        <v/>
      </c>
      <c r="AD29" s="570" t="str">
        <f>IFERROR(N29/'2014'!N30,"")</f>
        <v/>
      </c>
      <c r="AE29" s="570" t="str">
        <f>IFERROR(O29/'2014'!O30,"")</f>
        <v/>
      </c>
    </row>
    <row r="30" spans="1:31" ht="15" customHeight="1" x14ac:dyDescent="0.3">
      <c r="A30" s="525" t="s">
        <v>31</v>
      </c>
      <c r="B30" s="530">
        <f>'2015'!B30-'2014'!B31</f>
        <v>47249</v>
      </c>
      <c r="C30" s="511">
        <f>'2015'!C30-'2014'!C31</f>
        <v>15742</v>
      </c>
      <c r="D30" s="511">
        <f>'2015'!D30-'2014'!D31</f>
        <v>16043</v>
      </c>
      <c r="E30" s="536">
        <f>'2015'!E30-'2014'!E31</f>
        <v>79034</v>
      </c>
      <c r="F30" s="541">
        <f>'2015'!F30-'2014'!F31</f>
        <v>59381</v>
      </c>
      <c r="G30" s="512">
        <f>'2015'!G30-'2014'!G31</f>
        <v>69922</v>
      </c>
      <c r="H30" s="512">
        <f>'2015'!H30-'2014'!H31</f>
        <v>-56795.642356293043</v>
      </c>
      <c r="I30" s="542">
        <f>'2015'!I30-'2014'!I31</f>
        <v>72507.357643706957</v>
      </c>
      <c r="J30" s="550">
        <f>'2015'!J30-'2014'!J31</f>
        <v>106630</v>
      </c>
      <c r="K30" s="513">
        <f>'2015'!K30-'2014'!K31</f>
        <v>85664</v>
      </c>
      <c r="L30" s="513">
        <f>'2015'!L30-'2014'!L31</f>
        <v>-40752.642356293043</v>
      </c>
      <c r="M30" s="551">
        <f>'2015'!M30-'2014'!M31</f>
        <v>151541.35764370672</v>
      </c>
      <c r="N30" s="559">
        <f>'2015'!N30-'2014'!N31</f>
        <v>0</v>
      </c>
      <c r="O30" s="560">
        <f>'2015'!O30-'2014'!O31</f>
        <v>0</v>
      </c>
      <c r="Q30" s="525" t="s">
        <v>31</v>
      </c>
      <c r="R30" s="567">
        <f>IFERROR(B30/'2014'!B31,"")</f>
        <v>5.5337324732149966E-2</v>
      </c>
      <c r="S30" s="567">
        <f>IFERROR(C30/'2014'!C31,"")</f>
        <v>1.0857817221455466E-2</v>
      </c>
      <c r="T30" s="567">
        <f>IFERROR(D30/'2014'!D31,"")</f>
        <v>1.311953471978594E-2</v>
      </c>
      <c r="U30" s="567">
        <f>IFERROR(E30/'2014'!E31,"")</f>
        <v>2.2411456117963986E-2</v>
      </c>
      <c r="V30" s="568">
        <f>IFERROR(F30/'2014'!F31,"")</f>
        <v>0.35892119944633499</v>
      </c>
      <c r="W30" s="568">
        <f>IFERROR(G30/'2014'!G31,"")</f>
        <v>0.16155954102875733</v>
      </c>
      <c r="X30" s="568">
        <f>IFERROR(H30/'2014'!H31,"")</f>
        <v>-9.3145228516906584E-2</v>
      </c>
      <c r="Y30" s="568">
        <f>IFERROR(I30/'2014'!I31,"")</f>
        <v>6.0023112018711432E-2</v>
      </c>
      <c r="Z30" s="569">
        <f>IFERROR(J30/'2014'!J31,"")</f>
        <v>0.10461316283372855</v>
      </c>
      <c r="AA30" s="569">
        <f>IFERROR(K30/'2014'!K31,"")</f>
        <v>4.5502423477856713E-2</v>
      </c>
      <c r="AB30" s="569">
        <f>IFERROR(L30/'2014'!L31,"")</f>
        <v>-2.2237771145103589E-2</v>
      </c>
      <c r="AC30" s="569">
        <f>IFERROR(M30/'2014'!M31,"")</f>
        <v>3.2007953778167487E-2</v>
      </c>
      <c r="AD30" s="570" t="str">
        <f>IFERROR(N30/'2014'!N31,"")</f>
        <v/>
      </c>
      <c r="AE30" s="570" t="str">
        <f>IFERROR(O30/'2014'!O31,"")</f>
        <v/>
      </c>
    </row>
    <row r="31" spans="1:31" ht="15" customHeight="1" x14ac:dyDescent="0.3">
      <c r="A31" s="525" t="s">
        <v>32</v>
      </c>
      <c r="B31" s="564">
        <f>'2015'!B31-'2014'!B32</f>
        <v>91816.990955989924</v>
      </c>
      <c r="C31" s="565">
        <f>'2015'!C31-'2014'!C32</f>
        <v>44824.95784140774</v>
      </c>
      <c r="D31" s="565">
        <f>'2015'!D31-'2014'!D32</f>
        <v>-17504.966004858725</v>
      </c>
      <c r="E31" s="566">
        <f>'2015'!E31-'2014'!E32</f>
        <v>119136.98279253906</v>
      </c>
      <c r="F31" s="541">
        <f>'2015'!F31-'2014'!F32</f>
        <v>48576.476468180888</v>
      </c>
      <c r="G31" s="512">
        <f>'2015'!G31-'2014'!G32</f>
        <v>50149.94195889635</v>
      </c>
      <c r="H31" s="512">
        <f>'2015'!H31-'2014'!H32</f>
        <v>-75459.265789536992</v>
      </c>
      <c r="I31" s="542">
        <f>'2015'!I31-'2014'!I32</f>
        <v>23267.152637540363</v>
      </c>
      <c r="J31" s="550">
        <f>'2015'!J31-'2014'!J32</f>
        <v>140393.46742417081</v>
      </c>
      <c r="K31" s="513">
        <f>'2015'!K31-'2014'!K32</f>
        <v>94974.899800304091</v>
      </c>
      <c r="L31" s="513">
        <f>'2015'!L31-'2014'!L32</f>
        <v>-92964.231794395717</v>
      </c>
      <c r="M31" s="551">
        <f>'2015'!M31-'2014'!M32</f>
        <v>142404.13543007988</v>
      </c>
      <c r="N31" s="559">
        <f>'2015'!N31-'2014'!N32</f>
        <v>0</v>
      </c>
      <c r="O31" s="560">
        <f>'2015'!O31-'2014'!O32</f>
        <v>0</v>
      </c>
      <c r="Q31" s="525" t="s">
        <v>32</v>
      </c>
      <c r="R31" s="567">
        <f>IFERROR(B31/'2014'!B32,"")</f>
        <v>0.12899304431311961</v>
      </c>
      <c r="S31" s="567">
        <f>IFERROR(C31/'2014'!C32,"")</f>
        <v>3.4325769155564408E-2</v>
      </c>
      <c r="T31" s="567">
        <f>IFERROR(D31/'2014'!D32,"")</f>
        <v>-1.4671158403441903E-2</v>
      </c>
      <c r="U31" s="567">
        <f>IFERROR(E31/'2014'!E32,"")</f>
        <v>3.7104823248544784E-2</v>
      </c>
      <c r="V31" s="568">
        <f>IFERROR(F31/'2014'!F32,"")</f>
        <v>0.31186241315779467</v>
      </c>
      <c r="W31" s="568">
        <f>IFERROR(G31/'2014'!G32,"")</f>
        <v>0.13219789981938909</v>
      </c>
      <c r="X31" s="568">
        <f>IFERROR(H31/'2014'!H32,"")</f>
        <v>-0.1340436990507497</v>
      </c>
      <c r="Y31" s="568">
        <f>IFERROR(I31/'2014'!I32,"")</f>
        <v>2.1189272265633906E-2</v>
      </c>
      <c r="Z31" s="569">
        <f>IFERROR(J31/'2014'!J32,"")</f>
        <v>0.16182555984985603</v>
      </c>
      <c r="AA31" s="569">
        <f>IFERROR(K31/'2014'!K32,"")</f>
        <v>5.6357431729702728E-2</v>
      </c>
      <c r="AB31" s="569">
        <f>IFERROR(L31/'2014'!L32,"")</f>
        <v>-5.2937883790251182E-2</v>
      </c>
      <c r="AC31" s="569">
        <f>IFERROR(M31/'2014'!M32,"")</f>
        <v>3.3048953609713619E-2</v>
      </c>
      <c r="AD31" s="570" t="str">
        <f>IFERROR(N31/'2014'!N32,"")</f>
        <v/>
      </c>
      <c r="AE31" s="570" t="str">
        <f>IFERROR(O31/'2014'!O32,"")</f>
        <v/>
      </c>
    </row>
    <row r="32" spans="1:31" ht="15" customHeight="1" thickBot="1" x14ac:dyDescent="0.35">
      <c r="A32" s="563" t="s">
        <v>33</v>
      </c>
      <c r="B32" s="531">
        <f>'2015'!B32-'2014'!B33</f>
        <v>139065.99095598981</v>
      </c>
      <c r="C32" s="532">
        <f>'2015'!C32-'2014'!C33</f>
        <v>60566.957841407508</v>
      </c>
      <c r="D32" s="532">
        <f>'2015'!D32-'2014'!D33</f>
        <v>-1461.9660048587248</v>
      </c>
      <c r="E32" s="533">
        <f>'2015'!E32-'2014'!E33</f>
        <v>198170.98279253859</v>
      </c>
      <c r="F32" s="543">
        <f>'2015'!F32-'2014'!F33</f>
        <v>107957.47646818089</v>
      </c>
      <c r="G32" s="544">
        <f>'2015'!G32-'2014'!G33</f>
        <v>120071.94195889635</v>
      </c>
      <c r="H32" s="544">
        <f>'2015'!H32-'2014'!H33</f>
        <v>-132254.90814583004</v>
      </c>
      <c r="I32" s="545">
        <f>'2015'!I32-'2014'!I33</f>
        <v>95774</v>
      </c>
      <c r="J32" s="552">
        <f>'2015'!J32-'2014'!J33</f>
        <v>247022.99095598981</v>
      </c>
      <c r="K32" s="553">
        <f>'2015'!K32-'2014'!K33</f>
        <v>180638.89980030386</v>
      </c>
      <c r="L32" s="553">
        <f>'2015'!L32-'2014'!L33</f>
        <v>-133716.87415068876</v>
      </c>
      <c r="M32" s="554">
        <f>'2015'!M32-'2014'!M33</f>
        <v>293944.98279253766</v>
      </c>
      <c r="N32" s="561">
        <f>'2015'!N32-'2014'!N33</f>
        <v>0</v>
      </c>
      <c r="O32" s="562">
        <f>'2015'!O32-'2014'!O33</f>
        <v>0</v>
      </c>
      <c r="Q32" s="563" t="s">
        <v>33</v>
      </c>
      <c r="R32" s="567">
        <f>IFERROR(B32/'2014'!B33,"")</f>
        <v>8.8824074436292144E-2</v>
      </c>
      <c r="S32" s="567">
        <f>IFERROR(C32/'2014'!C33,"")</f>
        <v>2.197879226381954E-2</v>
      </c>
      <c r="T32" s="567">
        <f>IFERROR(D32/'2014'!D33,"")</f>
        <v>-6.0512138506429861E-4</v>
      </c>
      <c r="U32" s="567">
        <f>IFERROR(E32/'2014'!E33,"")</f>
        <v>2.9413909976773945E-2</v>
      </c>
      <c r="V32" s="568">
        <f>IFERROR(F32/'2014'!F33,"")</f>
        <v>0.33610093400989244</v>
      </c>
      <c r="W32" s="568">
        <f>IFERROR(G32/'2014'!G33,"")</f>
        <v>0.14784470999511939</v>
      </c>
      <c r="X32" s="568">
        <f>IFERROR(H32/'2014'!H33,"")</f>
        <v>-0.11277823082050963</v>
      </c>
      <c r="Y32" s="568">
        <f>IFERROR(I32/'2014'!I33,"")</f>
        <v>4.1531551299319097E-2</v>
      </c>
      <c r="Z32" s="569">
        <f>IFERROR(J32/'2014'!J33,"")</f>
        <v>0.13091888605074611</v>
      </c>
      <c r="AA32" s="569">
        <f>IFERROR(K32/'2014'!K33,"")</f>
        <v>5.0629636193040652E-2</v>
      </c>
      <c r="AB32" s="569">
        <f>IFERROR(L32/'2014'!L33,"")</f>
        <v>-3.7260668755240166E-2</v>
      </c>
      <c r="AC32" s="569">
        <f>IFERROR(M32/'2014'!M33,"")</f>
        <v>3.2503899295189945E-2</v>
      </c>
      <c r="AD32" s="570" t="str">
        <f>IFERROR(N32/'2014'!N33,"")</f>
        <v/>
      </c>
      <c r="AE32" s="570" t="str">
        <f>IFERROR(O32/'2014'!O33,"")</f>
        <v/>
      </c>
    </row>
  </sheetData>
  <mergeCells count="6">
    <mergeCell ref="Z1:AC1"/>
    <mergeCell ref="B1:E1"/>
    <mergeCell ref="F1:I1"/>
    <mergeCell ref="J1:M1"/>
    <mergeCell ref="R1:U1"/>
    <mergeCell ref="V1:Y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E32"/>
  <sheetViews>
    <sheetView topLeftCell="C1" workbookViewId="0">
      <selection activeCell="R23" sqref="R23"/>
    </sheetView>
  </sheetViews>
  <sheetFormatPr baseColWidth="10" defaultRowHeight="14.4" x14ac:dyDescent="0.3"/>
  <cols>
    <col min="1" max="1" width="29" customWidth="1"/>
    <col min="2" max="5" width="10.5546875" bestFit="1" customWidth="1"/>
    <col min="6" max="6" width="10.109375" bestFit="1" customWidth="1"/>
    <col min="7" max="12" width="10.5546875" bestFit="1" customWidth="1"/>
    <col min="13" max="14" width="11.88671875" bestFit="1" customWidth="1"/>
    <col min="15" max="15" width="10.5546875" bestFit="1" customWidth="1"/>
    <col min="17" max="17" width="28.44140625" customWidth="1"/>
  </cols>
  <sheetData>
    <row r="1" spans="1:31" ht="16.5" customHeight="1" x14ac:dyDescent="0.3">
      <c r="A1" s="522"/>
      <c r="B1" s="1132" t="s">
        <v>0</v>
      </c>
      <c r="C1" s="1133"/>
      <c r="D1" s="1133"/>
      <c r="E1" s="1134"/>
      <c r="F1" s="1135" t="s">
        <v>1</v>
      </c>
      <c r="G1" s="1136"/>
      <c r="H1" s="1136"/>
      <c r="I1" s="1137"/>
      <c r="J1" s="1129" t="s">
        <v>2</v>
      </c>
      <c r="K1" s="1130"/>
      <c r="L1" s="1130"/>
      <c r="M1" s="1131"/>
      <c r="N1" s="555" t="s">
        <v>3</v>
      </c>
      <c r="O1" s="517" t="s">
        <v>4</v>
      </c>
      <c r="Q1" s="522"/>
      <c r="R1" s="1132" t="s">
        <v>0</v>
      </c>
      <c r="S1" s="1133"/>
      <c r="T1" s="1133"/>
      <c r="U1" s="1134"/>
      <c r="V1" s="1135" t="s">
        <v>1</v>
      </c>
      <c r="W1" s="1136"/>
      <c r="X1" s="1136"/>
      <c r="Y1" s="1137"/>
      <c r="Z1" s="1129" t="s">
        <v>2</v>
      </c>
      <c r="AA1" s="1130"/>
      <c r="AB1" s="1130"/>
      <c r="AC1" s="1131"/>
      <c r="AD1" s="555" t="s">
        <v>3</v>
      </c>
      <c r="AE1" s="517" t="s">
        <v>4</v>
      </c>
    </row>
    <row r="2" spans="1:31" ht="16.2" thickBot="1" x14ac:dyDescent="0.35">
      <c r="A2" s="523"/>
      <c r="B2" s="528" t="s">
        <v>5</v>
      </c>
      <c r="C2" s="518" t="s">
        <v>6</v>
      </c>
      <c r="D2" s="518" t="s">
        <v>7</v>
      </c>
      <c r="E2" s="534" t="s">
        <v>8</v>
      </c>
      <c r="F2" s="537" t="s">
        <v>5</v>
      </c>
      <c r="G2" s="519" t="s">
        <v>6</v>
      </c>
      <c r="H2" s="519" t="s">
        <v>7</v>
      </c>
      <c r="I2" s="538" t="s">
        <v>8</v>
      </c>
      <c r="J2" s="546" t="s">
        <v>5</v>
      </c>
      <c r="K2" s="520" t="s">
        <v>6</v>
      </c>
      <c r="L2" s="520" t="s">
        <v>7</v>
      </c>
      <c r="M2" s="547" t="s">
        <v>8</v>
      </c>
      <c r="N2" s="556" t="s">
        <v>8</v>
      </c>
      <c r="O2" s="521" t="s">
        <v>8</v>
      </c>
      <c r="Q2" s="523"/>
      <c r="R2" s="528" t="s">
        <v>5</v>
      </c>
      <c r="S2" s="518" t="s">
        <v>6</v>
      </c>
      <c r="T2" s="518" t="s">
        <v>7</v>
      </c>
      <c r="U2" s="534" t="s">
        <v>8</v>
      </c>
      <c r="V2" s="537" t="s">
        <v>5</v>
      </c>
      <c r="W2" s="519" t="s">
        <v>6</v>
      </c>
      <c r="X2" s="519" t="s">
        <v>7</v>
      </c>
      <c r="Y2" s="538" t="s">
        <v>8</v>
      </c>
      <c r="Z2" s="546" t="s">
        <v>5</v>
      </c>
      <c r="AA2" s="520" t="s">
        <v>6</v>
      </c>
      <c r="AB2" s="520" t="s">
        <v>7</v>
      </c>
      <c r="AC2" s="547" t="s">
        <v>8</v>
      </c>
      <c r="AD2" s="556" t="s">
        <v>8</v>
      </c>
      <c r="AE2" s="521" t="s">
        <v>8</v>
      </c>
    </row>
    <row r="3" spans="1:31" ht="15.75" customHeight="1" x14ac:dyDescent="0.3">
      <c r="A3" s="524" t="s">
        <v>132</v>
      </c>
      <c r="B3" s="529">
        <f>+'2016'!B3-'2015'!B3</f>
        <v>-3743.2497981246561</v>
      </c>
      <c r="C3" s="529">
        <f>+'2016'!C3-'2015'!C3</f>
        <v>91313.097128706286</v>
      </c>
      <c r="D3" s="529">
        <f>+'2016'!D3-'2015'!D3</f>
        <v>-47353.902150338981</v>
      </c>
      <c r="E3" s="529">
        <f>+'2016'!E3-'2015'!E3</f>
        <v>40215.945180242881</v>
      </c>
      <c r="F3" s="539">
        <f>+'2016'!F3-'2015'!F3</f>
        <v>1642</v>
      </c>
      <c r="G3" s="539">
        <f>+'2016'!G3-'2015'!G3</f>
        <v>3616</v>
      </c>
      <c r="H3" s="539">
        <f>+'2016'!H3-'2015'!H3</f>
        <v>4526</v>
      </c>
      <c r="I3" s="539">
        <f>+'2016'!I3-'2015'!I3</f>
        <v>9784</v>
      </c>
      <c r="J3" s="548">
        <f>+'2016'!J3-'2015'!J3</f>
        <v>-2101.2497981246561</v>
      </c>
      <c r="K3" s="548">
        <f>+'2016'!K3-'2015'!K3</f>
        <v>94929.097128706286</v>
      </c>
      <c r="L3" s="548">
        <f>+'2016'!L3-'2015'!L3</f>
        <v>-42827.902150338981</v>
      </c>
      <c r="M3" s="548">
        <f>+'2016'!M3-'2015'!M3</f>
        <v>49999.945180242881</v>
      </c>
      <c r="N3" s="557">
        <f>+'2016'!N3-'2015'!N3</f>
        <v>4974.478496348951</v>
      </c>
      <c r="O3" s="557">
        <f>+'2016'!O3-'2015'!O3</f>
        <v>4809.6027504652739</v>
      </c>
      <c r="Q3" s="524" t="s">
        <v>132</v>
      </c>
      <c r="R3" s="877">
        <f>IFERROR(B3/'2015'!B3,"")</f>
        <v>-6.254487519867338E-3</v>
      </c>
      <c r="S3" s="877">
        <f>IFERROR(C3/'2015'!C3,"")</f>
        <v>9.4660294330463399E-2</v>
      </c>
      <c r="T3" s="877">
        <f>IFERROR(D3/'2015'!D3,"")</f>
        <v>-4.9730633450322415E-2</v>
      </c>
      <c r="U3" s="877">
        <f>IFERROR(E3/'2015'!E3,"")</f>
        <v>1.5988286386866855E-2</v>
      </c>
      <c r="V3" s="771">
        <f>IFERROR(F3/'2015'!F3,"")</f>
        <v>1.1325856336823517E-2</v>
      </c>
      <c r="W3" s="771">
        <f>IFERROR(G3/'2015'!G3,"")</f>
        <v>1.1323354418488132E-2</v>
      </c>
      <c r="X3" s="771">
        <f>IFERROR(H3/'2015'!H3,"")</f>
        <v>1.1320830227567196E-2</v>
      </c>
      <c r="Y3" s="771">
        <f>IFERROR(I3/'2015'!I3,"")</f>
        <v>1.1322606328809229E-2</v>
      </c>
      <c r="Z3" s="569">
        <f>IFERROR(J3/'2015'!J3,"")</f>
        <v>-2.8262804749163294E-3</v>
      </c>
      <c r="AA3" s="569">
        <f>IFERROR(K3/'2015'!K3,"")</f>
        <v>7.3933475840565394E-2</v>
      </c>
      <c r="AB3" s="569">
        <f>IFERROR(L3/'2015'!L3,"")</f>
        <v>-3.1677397851454084E-2</v>
      </c>
      <c r="AC3" s="569">
        <f>IFERROR(M3/'2015'!M3,"")</f>
        <v>1.4795290467137744E-2</v>
      </c>
      <c r="AD3" s="570">
        <f>IFERROR(N3/'2015'!N3,"")</f>
        <v>1.1322912701691303E-2</v>
      </c>
      <c r="AE3" s="570">
        <f>IFERROR(O3/'2015'!O3,"")</f>
        <v>1.1322482897418707E-2</v>
      </c>
    </row>
    <row r="4" spans="1:31" ht="15" customHeight="1" x14ac:dyDescent="0.3">
      <c r="A4" s="525" t="s">
        <v>10</v>
      </c>
      <c r="B4" s="529">
        <f>+'2016'!B4-'2015'!B4</f>
        <v>-6388.6669716609176</v>
      </c>
      <c r="C4" s="529">
        <f>+'2016'!C4-'2015'!C4</f>
        <v>-8008.168655565707</v>
      </c>
      <c r="D4" s="529">
        <f>+'2016'!D4-'2015'!D4</f>
        <v>-49121.932381500723</v>
      </c>
      <c r="E4" s="529">
        <f>+'2016'!E4-'2015'!E4</f>
        <v>-63518.768008727347</v>
      </c>
      <c r="F4" s="539">
        <f>+'2016'!F4-'2015'!F4</f>
        <v>1338</v>
      </c>
      <c r="G4" s="539">
        <f>+'2016'!G4-'2015'!G4</f>
        <v>1792</v>
      </c>
      <c r="H4" s="539">
        <f>+'2016'!H4-'2015'!H4</f>
        <v>789</v>
      </c>
      <c r="I4" s="539">
        <f>+'2016'!I4-'2015'!I4</f>
        <v>3919</v>
      </c>
      <c r="J4" s="548">
        <f>+'2016'!J4-'2015'!J4</f>
        <v>-5050.6669716609176</v>
      </c>
      <c r="K4" s="548">
        <f>+'2016'!K4-'2015'!K4</f>
        <v>-6216.168655565707</v>
      </c>
      <c r="L4" s="548">
        <f>+'2016'!L4-'2015'!L4</f>
        <v>-48332.932381500723</v>
      </c>
      <c r="M4" s="548">
        <f>+'2016'!M4-'2015'!M4</f>
        <v>-59599.76800872758</v>
      </c>
      <c r="N4" s="557">
        <f>+'2016'!N4-'2015'!N4</f>
        <v>0</v>
      </c>
      <c r="O4" s="557">
        <f>+'2016'!O4-'2015'!O4</f>
        <v>0</v>
      </c>
      <c r="Q4" s="525" t="s">
        <v>10</v>
      </c>
      <c r="R4" s="877">
        <f>IFERROR(B4/'2015'!B4,"")</f>
        <v>-1.1551120851871724E-2</v>
      </c>
      <c r="S4" s="877">
        <f>IFERROR(C4/'2015'!C4,"")</f>
        <v>-1.0295933678365732E-2</v>
      </c>
      <c r="T4" s="877">
        <f>IFERROR(D4/'2015'!D4,"")</f>
        <v>-9.6772166738420914E-2</v>
      </c>
      <c r="U4" s="877">
        <f>IFERROR(E4/'2015'!E4,"")</f>
        <v>-3.4549596119803315E-2</v>
      </c>
      <c r="V4" s="771">
        <f>IFERROR(F4/'2015'!F4,"")</f>
        <v>1.1324970798842111E-2</v>
      </c>
      <c r="W4" s="771">
        <f>IFERROR(G4/'2015'!G4,"")</f>
        <v>1.1326646061272604E-2</v>
      </c>
      <c r="X4" s="771">
        <f>IFERROR(H4/'2015'!H4,"")</f>
        <v>1.1314910154737491E-2</v>
      </c>
      <c r="Y4" s="771">
        <f>IFERROR(I4/'2015'!I4,"")</f>
        <v>1.1323709576755044E-2</v>
      </c>
      <c r="Z4" s="569">
        <f>IFERROR(J4/'2015'!J4,"")</f>
        <v>-7.5245662812335797E-3</v>
      </c>
      <c r="AA4" s="569">
        <f>IFERROR(K4/'2015'!K4,"")</f>
        <v>-6.6411336796631977E-3</v>
      </c>
      <c r="AB4" s="569">
        <f>IFERROR(L4/'2015'!L4,"")</f>
        <v>-8.3717318441355812E-2</v>
      </c>
      <c r="AC4" s="569">
        <f>IFERROR(M4/'2015'!M4,"")</f>
        <v>-2.728216611054721E-2</v>
      </c>
      <c r="AD4" s="570" t="str">
        <f>IFERROR(N4/'2015'!N4,"")</f>
        <v/>
      </c>
      <c r="AE4" s="570" t="str">
        <f>IFERROR(O4/'2015'!O4,"")</f>
        <v/>
      </c>
    </row>
    <row r="5" spans="1:31" ht="15" customHeight="1" x14ac:dyDescent="0.3">
      <c r="A5" s="525" t="s">
        <v>35</v>
      </c>
      <c r="B5" s="529">
        <f>+'2016'!B5-'2015'!B5</f>
        <v>22615</v>
      </c>
      <c r="C5" s="529">
        <f>+'2016'!C5-'2015'!C5</f>
        <v>320348.30245573074</v>
      </c>
      <c r="D5" s="529">
        <f>+'2016'!D5-'2015'!D5</f>
        <v>-250729</v>
      </c>
      <c r="E5" s="529">
        <f>+'2016'!E5-'2015'!E5</f>
        <v>92234.302455730736</v>
      </c>
      <c r="F5" s="539">
        <f>+'2016'!F5-'2015'!F5</f>
        <v>5929</v>
      </c>
      <c r="G5" s="539">
        <f>+'2016'!G5-'2015'!G5</f>
        <v>13728.949993531685</v>
      </c>
      <c r="H5" s="539">
        <f>+'2016'!H5-'2015'!H5</f>
        <v>16887.883393856231</v>
      </c>
      <c r="I5" s="539">
        <f>+'2016'!I5-'2015'!I5</f>
        <v>36545.833387387916</v>
      </c>
      <c r="J5" s="548">
        <f>+'2016'!J5-'2015'!J5</f>
        <v>28544</v>
      </c>
      <c r="K5" s="548">
        <f>+'2016'!K5-'2015'!K5</f>
        <v>334077.25244926289</v>
      </c>
      <c r="L5" s="548">
        <f>+'2016'!L5-'2015'!L5</f>
        <v>-233841.11660614423</v>
      </c>
      <c r="M5" s="548">
        <f>+'2016'!M5-'2015'!M5</f>
        <v>128780.13584311865</v>
      </c>
      <c r="N5" s="557">
        <f>+'2016'!N5-'2015'!N5</f>
        <v>19374</v>
      </c>
      <c r="O5" s="557">
        <f>+'2016'!O5-'2015'!O5</f>
        <v>17172</v>
      </c>
      <c r="Q5" s="525" t="s">
        <v>35</v>
      </c>
      <c r="R5" s="877">
        <f>IFERROR(B5/'2015'!B5,"")</f>
        <v>1.0616020215268387E-2</v>
      </c>
      <c r="S5" s="877">
        <f>IFERROR(C5/'2015'!C5,"")</f>
        <v>8.5010072680409721E-2</v>
      </c>
      <c r="T5" s="877">
        <f>IFERROR(D5/'2015'!D5,"")</f>
        <v>-7.3225152544491467E-2</v>
      </c>
      <c r="U5" s="877">
        <f>IFERROR(E5/'2015'!E5,"")</f>
        <v>9.8935065621717482E-3</v>
      </c>
      <c r="V5" s="771">
        <f>IFERROR(F5/'2015'!F5,"")</f>
        <v>1.0737051792828686E-2</v>
      </c>
      <c r="W5" s="771">
        <f>IFERROR(G5/'2015'!G5,"")</f>
        <v>1.098062083600641E-2</v>
      </c>
      <c r="X5" s="771">
        <f>IFERROR(H5/'2015'!H5,"")</f>
        <v>1.1489089815374434E-2</v>
      </c>
      <c r="Y5" s="771">
        <f>IFERROR(I5/'2015'!I5,"")</f>
        <v>1.1167915709036443E-2</v>
      </c>
      <c r="Z5" s="569">
        <f>IFERROR(J5/'2015'!J5,"")</f>
        <v>1.0640935167612249E-2</v>
      </c>
      <c r="AA5" s="569">
        <f>IFERROR(K5/'2015'!K5,"")</f>
        <v>6.656720739427964E-2</v>
      </c>
      <c r="AB5" s="569">
        <f>IFERROR(L5/'2015'!L5,"")</f>
        <v>-4.7781290688342817E-2</v>
      </c>
      <c r="AC5" s="569">
        <f>IFERROR(M5/'2015'!M5,"")</f>
        <v>1.0224616937687425E-2</v>
      </c>
      <c r="AD5" s="570">
        <f>IFERROR(N5/'2015'!N5,"")</f>
        <v>1.1234241532133909E-2</v>
      </c>
      <c r="AE5" s="570">
        <f>IFERROR(O5/'2015'!O5,"")</f>
        <v>1.1094126935108532E-2</v>
      </c>
    </row>
    <row r="6" spans="1:31" ht="15" customHeight="1" x14ac:dyDescent="0.3">
      <c r="A6" s="525" t="s">
        <v>148</v>
      </c>
      <c r="B6" s="529">
        <f>+'2016'!B6-'2015'!B6</f>
        <v>-4896</v>
      </c>
      <c r="C6" s="529">
        <f>+'2016'!C6-'2015'!C6</f>
        <v>10651</v>
      </c>
      <c r="D6" s="529">
        <f>+'2016'!D6-'2015'!D6</f>
        <v>-153760.93137019267</v>
      </c>
      <c r="E6" s="529">
        <f>+'2016'!E6-'2015'!E6</f>
        <v>-148005.93137019314</v>
      </c>
      <c r="F6" s="539">
        <f>+'2016'!F6-'2015'!F6</f>
        <v>0</v>
      </c>
      <c r="G6" s="539">
        <f>+'2016'!G6-'2015'!G6</f>
        <v>0</v>
      </c>
      <c r="H6" s="539">
        <f>+'2016'!H6-'2015'!H6</f>
        <v>0</v>
      </c>
      <c r="I6" s="539">
        <f>+'2016'!I6-'2015'!I6</f>
        <v>14705.692831953987</v>
      </c>
      <c r="J6" s="548">
        <f>+'2016'!J6-'2015'!J6</f>
        <v>0</v>
      </c>
      <c r="K6" s="548">
        <f>+'2016'!K6-'2015'!K6</f>
        <v>0</v>
      </c>
      <c r="L6" s="548">
        <f>+'2016'!L6-'2015'!L6</f>
        <v>0</v>
      </c>
      <c r="M6" s="548">
        <f>+'2016'!M6-'2015'!M6</f>
        <v>-133300.23853823915</v>
      </c>
      <c r="N6" s="557">
        <f>+'2016'!N6-'2015'!N6</f>
        <v>0</v>
      </c>
      <c r="O6" s="557">
        <f>+'2016'!O6-'2015'!O6</f>
        <v>0</v>
      </c>
      <c r="Q6" s="525" t="s">
        <v>148</v>
      </c>
      <c r="R6" s="877">
        <f>IFERROR(B6/'2015'!B6,"")</f>
        <v>-2.4733543554982121E-3</v>
      </c>
      <c r="S6" s="877">
        <f>IFERROR(C6/'2015'!C6,"")</f>
        <v>3.4874979207950617E-3</v>
      </c>
      <c r="T6" s="877">
        <f>IFERROR(D6/'2015'!D6,"")</f>
        <v>-8.3810736452982593E-2</v>
      </c>
      <c r="U6" s="877">
        <f>IFERROR(E6/'2015'!E6,"")</f>
        <v>-2.1549541042168864E-2</v>
      </c>
      <c r="V6" s="771" t="str">
        <f>IFERROR(F6/'2015'!F6,"")</f>
        <v/>
      </c>
      <c r="W6" s="771" t="str">
        <f>IFERROR(G6/'2015'!G6,"")</f>
        <v/>
      </c>
      <c r="X6" s="771" t="str">
        <f>IFERROR(H6/'2015'!H6,"")</f>
        <v/>
      </c>
      <c r="Y6" s="771">
        <f>IFERROR(I6/'2015'!I6,"")</f>
        <v>1.0990807508771771E-2</v>
      </c>
      <c r="Z6" s="569" t="str">
        <f>IFERROR(J6/'2015'!J6,"")</f>
        <v/>
      </c>
      <c r="AA6" s="569" t="str">
        <f>IFERROR(K6/'2015'!K6,"")</f>
        <v/>
      </c>
      <c r="AB6" s="569" t="str">
        <f>IFERROR(L6/'2015'!L6,"")</f>
        <v/>
      </c>
      <c r="AC6" s="569">
        <f>IFERROR(M6/'2015'!M6,"")</f>
        <v>-1.6243903631468392E-2</v>
      </c>
      <c r="AD6" s="570" t="str">
        <f>IFERROR(N6/'2015'!N6,"")</f>
        <v/>
      </c>
      <c r="AE6" s="570" t="str">
        <f>IFERROR(O6/'2015'!O6,"")</f>
        <v/>
      </c>
    </row>
    <row r="7" spans="1:31" ht="15" customHeight="1" x14ac:dyDescent="0.3">
      <c r="A7" s="525" t="s">
        <v>144</v>
      </c>
      <c r="B7" s="529">
        <f>+'2016'!B7-'2015'!B7</f>
        <v>3116.887435229728</v>
      </c>
      <c r="C7" s="529">
        <f>+'2016'!C7-'2015'!C7</f>
        <v>168842</v>
      </c>
      <c r="D7" s="529">
        <f>+'2016'!D7-'2015'!D7</f>
        <v>-114155</v>
      </c>
      <c r="E7" s="529">
        <f>+'2016'!E7-'2015'!E7</f>
        <v>57803.887435229495</v>
      </c>
      <c r="F7" s="539">
        <f>+'2016'!F7-'2015'!F7</f>
        <v>3063</v>
      </c>
      <c r="G7" s="539">
        <f>+'2016'!G7-'2015'!G7</f>
        <v>7216.6959084697301</v>
      </c>
      <c r="H7" s="539">
        <f>+'2016'!H7-'2015'!H7</f>
        <v>8748</v>
      </c>
      <c r="I7" s="539">
        <f>+'2016'!I7-'2015'!I7</f>
        <v>19027.695908469614</v>
      </c>
      <c r="J7" s="548">
        <f>+'2016'!J7-'2015'!J7</f>
        <v>6179.887435229728</v>
      </c>
      <c r="K7" s="548">
        <f>+'2016'!K7-'2015'!K7</f>
        <v>176058.69590846961</v>
      </c>
      <c r="L7" s="548">
        <f>+'2016'!L7-'2015'!L7</f>
        <v>-105407</v>
      </c>
      <c r="M7" s="548">
        <f>+'2016'!M7-'2015'!M7</f>
        <v>76831.583343699574</v>
      </c>
      <c r="N7" s="557">
        <f>+'2016'!N7-'2015'!N7</f>
        <v>10069</v>
      </c>
      <c r="O7" s="557">
        <f>+'2016'!O7-'2015'!O7</f>
        <v>8958</v>
      </c>
      <c r="P7" s="38"/>
      <c r="Q7" s="525" t="s">
        <v>144</v>
      </c>
      <c r="R7" s="877">
        <f>IFERROR(B7/'2015'!B7,"")</f>
        <v>2.8104193229642411E-3</v>
      </c>
      <c r="S7" s="877">
        <f>IFERROR(C7/'2015'!C7,"")</f>
        <v>8.6815278567616283E-2</v>
      </c>
      <c r="T7" s="877">
        <f>IFERROR(D7/'2015'!D7,"")</f>
        <v>-6.5570069880904927E-2</v>
      </c>
      <c r="U7" s="877">
        <f>IFERROR(E7/'2015'!E7,"")</f>
        <v>1.2055408203136081E-2</v>
      </c>
      <c r="V7" s="771">
        <f>IFERROR(F7/'2015'!F7,"")</f>
        <v>1.0797415388520124E-2</v>
      </c>
      <c r="W7" s="771">
        <f>IFERROR(G7/'2015'!G7,"")</f>
        <v>1.1015199247310923E-2</v>
      </c>
      <c r="X7" s="771">
        <f>IFERROR(H7/'2015'!H7,"")</f>
        <v>1.1474276660182765E-2</v>
      </c>
      <c r="Y7" s="771">
        <f>IFERROR(I7/'2015'!I7,"")</f>
        <v>1.1184617266055434E-2</v>
      </c>
      <c r="Z7" s="569">
        <f>IFERROR(J7/'2015'!J7,"")</f>
        <v>4.4372596876561584E-3</v>
      </c>
      <c r="AA7" s="569">
        <f>IFERROR(K7/'2015'!K7,"")</f>
        <v>6.7714883041719076E-2</v>
      </c>
      <c r="AB7" s="569">
        <f>IFERROR(L7/'2015'!L7,"")</f>
        <v>-4.2106158795188711E-2</v>
      </c>
      <c r="AC7" s="569">
        <f>IFERROR(M7/'2015'!M7,"")</f>
        <v>1.1827359817938999E-2</v>
      </c>
      <c r="AD7" s="570">
        <f>IFERROR(N7/'2015'!N7,"")</f>
        <v>1.1245077695903794E-2</v>
      </c>
      <c r="AE7" s="570">
        <f>IFERROR(O7/'2015'!O7,"")</f>
        <v>1.1116571360495592E-2</v>
      </c>
    </row>
    <row r="8" spans="1:31" ht="15" customHeight="1" x14ac:dyDescent="0.3">
      <c r="A8" s="525" t="s">
        <v>145</v>
      </c>
      <c r="B8" s="529">
        <f>+'2016'!B8-'2015'!B8</f>
        <v>19498</v>
      </c>
      <c r="C8" s="529">
        <f>+'2016'!C8-'2015'!C8</f>
        <v>151506.30245573097</v>
      </c>
      <c r="D8" s="529">
        <f>+'2016'!D8-'2015'!D8</f>
        <v>-136574</v>
      </c>
      <c r="E8" s="529">
        <f>+'2016'!E8-'2015'!E8</f>
        <v>34430.302455730736</v>
      </c>
      <c r="F8" s="539">
        <f>+'2016'!F8-'2015'!F8</f>
        <v>2866</v>
      </c>
      <c r="G8" s="539">
        <f>+'2016'!G8-'2015'!G8</f>
        <v>6512</v>
      </c>
      <c r="H8" s="539">
        <f>+'2016'!H8-'2015'!H8</f>
        <v>8140</v>
      </c>
      <c r="I8" s="539">
        <f>+'2016'!I8-'2015'!I8</f>
        <v>17518</v>
      </c>
      <c r="J8" s="548">
        <f>+'2016'!J8-'2015'!J8</f>
        <v>22364</v>
      </c>
      <c r="K8" s="548">
        <f>+'2016'!K8-'2015'!K8</f>
        <v>158018.30245573074</v>
      </c>
      <c r="L8" s="548">
        <f>+'2016'!L8-'2015'!L8</f>
        <v>-128434</v>
      </c>
      <c r="M8" s="548">
        <f>+'2016'!M8-'2015'!M8</f>
        <v>51948.302455730736</v>
      </c>
      <c r="N8" s="557">
        <f>+'2016'!N8-'2015'!N8</f>
        <v>9305</v>
      </c>
      <c r="O8" s="557">
        <f>+'2016'!O8-'2015'!O8</f>
        <v>8214</v>
      </c>
      <c r="Q8" s="525" t="s">
        <v>145</v>
      </c>
      <c r="R8" s="877">
        <f>IFERROR(B8/'2015'!B8,"")</f>
        <v>1.9092774944576313E-2</v>
      </c>
      <c r="S8" s="877">
        <f>IFERROR(C8/'2015'!C8,"")</f>
        <v>8.3084757984294599E-2</v>
      </c>
      <c r="T8" s="877">
        <f>IFERROR(D8/'2015'!D8,"")</f>
        <v>-8.1143304610898442E-2</v>
      </c>
      <c r="U8" s="877">
        <f>IFERROR(E8/'2015'!E8,"")</f>
        <v>7.6041004924469252E-3</v>
      </c>
      <c r="V8" s="771">
        <f>IFERROR(F8/'2015'!F8,"")</f>
        <v>1.0673280674509629E-2</v>
      </c>
      <c r="W8" s="771">
        <f>IFERROR(G8/'2015'!G8,"")</f>
        <v>1.0942128707797106E-2</v>
      </c>
      <c r="X8" s="771">
        <f>IFERROR(H8/'2015'!H8,"")</f>
        <v>1.1505219044388379E-2</v>
      </c>
      <c r="Y8" s="771">
        <f>IFERROR(I8/'2015'!I8,"")</f>
        <v>1.1149745060487272E-2</v>
      </c>
      <c r="Z8" s="569">
        <f>IFERROR(J8/'2015'!J8,"")</f>
        <v>1.7339861755618358E-2</v>
      </c>
      <c r="AA8" s="569">
        <f>IFERROR(K8/'2015'!K8,"")</f>
        <v>6.533337348902267E-2</v>
      </c>
      <c r="AB8" s="569">
        <f>IFERROR(L8/'2015'!L8,"")</f>
        <v>-5.3724003671005001E-2</v>
      </c>
      <c r="AC8" s="569">
        <f>IFERROR(M8/'2015'!M8,"")</f>
        <v>8.5174877288800369E-3</v>
      </c>
      <c r="AD8" s="570">
        <f>IFERROR(N8/'2015'!N8,"")</f>
        <v>1.1222539152249031E-2</v>
      </c>
      <c r="AE8" s="570">
        <f>IFERROR(O8/'2015'!O8,"")</f>
        <v>1.1069752648843295E-2</v>
      </c>
    </row>
    <row r="9" spans="1:31" ht="15" customHeight="1" x14ac:dyDescent="0.3">
      <c r="A9" s="525" t="s">
        <v>34</v>
      </c>
      <c r="B9" s="529">
        <f>+'2016'!B9-'2015'!B9</f>
        <v>-11062</v>
      </c>
      <c r="C9" s="529">
        <f>+'2016'!C9-'2015'!C9</f>
        <v>20294</v>
      </c>
      <c r="D9" s="529">
        <f>+'2016'!D9-'2015'!D9</f>
        <v>-53387</v>
      </c>
      <c r="E9" s="529">
        <f>+'2016'!E9-'2015'!E9</f>
        <v>-44155</v>
      </c>
      <c r="F9" s="539">
        <f>+'2016'!F9-'2015'!F9</f>
        <v>879</v>
      </c>
      <c r="G9" s="539">
        <f>+'2016'!G9-'2015'!G9</f>
        <v>2442</v>
      </c>
      <c r="H9" s="539">
        <f>+'2016'!H9-'2015'!H9</f>
        <v>3826</v>
      </c>
      <c r="I9" s="539">
        <f>+'2016'!I9-'2015'!I9</f>
        <v>7147</v>
      </c>
      <c r="J9" s="548">
        <f>+'2016'!J9-'2015'!J9</f>
        <v>-10183</v>
      </c>
      <c r="K9" s="548">
        <f>+'2016'!K9-'2015'!K9</f>
        <v>22736</v>
      </c>
      <c r="L9" s="548">
        <f>+'2016'!L9-'2015'!L9</f>
        <v>-49561</v>
      </c>
      <c r="M9" s="548">
        <f>+'2016'!M9-'2015'!M9</f>
        <v>-37008</v>
      </c>
      <c r="N9" s="557">
        <f>+'2016'!N9-'2015'!N9</f>
        <v>0</v>
      </c>
      <c r="O9" s="557">
        <f>+'2016'!O9-'2015'!O9</f>
        <v>0</v>
      </c>
      <c r="Q9" s="525" t="s">
        <v>34</v>
      </c>
      <c r="R9" s="877">
        <f>IFERROR(B9/'2015'!B9,"")</f>
        <v>-4.6930152049959276E-2</v>
      </c>
      <c r="S9" s="877">
        <f>IFERROR(C9/'2015'!C9,"")</f>
        <v>3.9266372436531229E-2</v>
      </c>
      <c r="T9" s="877">
        <f>IFERROR(D9/'2015'!D9,"")</f>
        <v>-8.9221163600265385E-2</v>
      </c>
      <c r="U9" s="877">
        <f>IFERROR(E9/'2015'!E9,"")</f>
        <v>-3.2685423433720134E-2</v>
      </c>
      <c r="V9" s="771">
        <f>IFERROR(F9/'2015'!F9,"")</f>
        <v>1.4193215029629749E-2</v>
      </c>
      <c r="W9" s="771">
        <f>IFERROR(G9/'2015'!G9,"")</f>
        <v>1.40920658553053E-2</v>
      </c>
      <c r="X9" s="771">
        <f>IFERROR(H9/'2015'!H9,"")</f>
        <v>1.5474091210586769E-2</v>
      </c>
      <c r="Y9" s="771">
        <f>IFERROR(I9/'2015'!I9,"")</f>
        <v>1.4813294864779718E-2</v>
      </c>
      <c r="Z9" s="569">
        <f>IFERROR(J9/'2015'!J9,"")</f>
        <v>-3.4212126608050585E-2</v>
      </c>
      <c r="AA9" s="569">
        <f>IFERROR(K9/'2015'!K9,"")</f>
        <v>3.2945090549732076E-2</v>
      </c>
      <c r="AB9" s="569">
        <f>IFERROR(L9/'2015'!L9,"")</f>
        <v>-5.8609137211912223E-2</v>
      </c>
      <c r="AC9" s="569">
        <f>IFERROR(M9/'2015'!M9,"")</f>
        <v>-2.0185668001178152E-2</v>
      </c>
      <c r="AD9" s="570" t="str">
        <f>IFERROR(N9/'2015'!N9,"")</f>
        <v/>
      </c>
      <c r="AE9" s="570" t="str">
        <f>IFERROR(O9/'2015'!O9,"")</f>
        <v/>
      </c>
    </row>
    <row r="10" spans="1:31" ht="15" customHeight="1" x14ac:dyDescent="0.3">
      <c r="A10" s="526" t="s">
        <v>36</v>
      </c>
      <c r="B10" s="529">
        <f>+'2016'!B10-'2015'!B10</f>
        <v>-11554</v>
      </c>
      <c r="C10" s="529">
        <f>+'2016'!C10-'2015'!C10</f>
        <v>9859</v>
      </c>
      <c r="D10" s="529">
        <f>+'2016'!D10-'2015'!D10</f>
        <v>-27863</v>
      </c>
      <c r="E10" s="529">
        <f>+'2016'!E10-'2015'!E10</f>
        <v>-29558</v>
      </c>
      <c r="F10" s="539">
        <f>+'2016'!F10-'2015'!F10</f>
        <v>0</v>
      </c>
      <c r="G10" s="539">
        <f>+'2016'!G10-'2015'!G10</f>
        <v>0</v>
      </c>
      <c r="H10" s="539">
        <f>+'2016'!H10-'2015'!H10</f>
        <v>0</v>
      </c>
      <c r="I10" s="539">
        <f>+'2016'!I10-'2015'!I10</f>
        <v>0</v>
      </c>
      <c r="J10" s="548">
        <f>+'2016'!J10-'2015'!J10</f>
        <v>0</v>
      </c>
      <c r="K10" s="548">
        <f>+'2016'!K10-'2015'!K10</f>
        <v>0</v>
      </c>
      <c r="L10" s="548">
        <f>+'2016'!L10-'2015'!L10</f>
        <v>0</v>
      </c>
      <c r="M10" s="548">
        <f>+'2016'!M10-'2015'!M10</f>
        <v>0</v>
      </c>
      <c r="N10" s="557">
        <f>+'2016'!N10-'2015'!N10</f>
        <v>0</v>
      </c>
      <c r="O10" s="557">
        <f>+'2016'!O10-'2015'!O10</f>
        <v>0</v>
      </c>
      <c r="Q10" s="526" t="s">
        <v>36</v>
      </c>
      <c r="R10" s="877">
        <f>IFERROR(B10/'2015'!B10,"")</f>
        <v>-9.8523091616072034E-2</v>
      </c>
      <c r="S10" s="877">
        <f>IFERROR(C10/'2015'!C10,"")</f>
        <v>3.8347692487212898E-2</v>
      </c>
      <c r="T10" s="877">
        <f>IFERROR(D10/'2015'!D10,"")</f>
        <v>-9.3623469878060667E-2</v>
      </c>
      <c r="U10" s="877">
        <f>IFERROR(E10/'2015'!E10,"")</f>
        <v>-4.3986820918666493E-2</v>
      </c>
      <c r="V10" s="771" t="str">
        <f>IFERROR(F10/'2015'!F10,"")</f>
        <v/>
      </c>
      <c r="W10" s="771" t="str">
        <f>IFERROR(G10/'2015'!G10,"")</f>
        <v/>
      </c>
      <c r="X10" s="771" t="str">
        <f>IFERROR(H10/'2015'!H10,"")</f>
        <v/>
      </c>
      <c r="Y10" s="771" t="str">
        <f>IFERROR(I10/'2015'!I10,"")</f>
        <v/>
      </c>
      <c r="Z10" s="569" t="str">
        <f>IFERROR(J10/'2015'!J10,"")</f>
        <v/>
      </c>
      <c r="AA10" s="569" t="str">
        <f>IFERROR(K10/'2015'!K10,"")</f>
        <v/>
      </c>
      <c r="AB10" s="569" t="str">
        <f>IFERROR(L10/'2015'!L10,"")</f>
        <v/>
      </c>
      <c r="AC10" s="569" t="str">
        <f>IFERROR(M10/'2015'!M10,"")</f>
        <v/>
      </c>
      <c r="AD10" s="570" t="str">
        <f>IFERROR(N10/'2015'!N10,"")</f>
        <v/>
      </c>
      <c r="AE10" s="570" t="str">
        <f>IFERROR(O10/'2015'!O10,"")</f>
        <v/>
      </c>
    </row>
    <row r="11" spans="1:31" ht="15" customHeight="1" x14ac:dyDescent="0.3">
      <c r="A11" s="526" t="s">
        <v>37</v>
      </c>
      <c r="B11" s="529">
        <f>+'2016'!B11-'2015'!B11</f>
        <v>492</v>
      </c>
      <c r="C11" s="529">
        <f>+'2016'!C11-'2015'!C11</f>
        <v>10435</v>
      </c>
      <c r="D11" s="529">
        <f>+'2016'!D11-'2015'!D11</f>
        <v>-25524</v>
      </c>
      <c r="E11" s="529">
        <f>+'2016'!E11-'2015'!E11</f>
        <v>-14597</v>
      </c>
      <c r="F11" s="539">
        <f>+'2016'!F11-'2015'!F11</f>
        <v>0</v>
      </c>
      <c r="G11" s="539">
        <f>+'2016'!G11-'2015'!G11</f>
        <v>0</v>
      </c>
      <c r="H11" s="539">
        <f>+'2016'!H11-'2015'!H11</f>
        <v>0</v>
      </c>
      <c r="I11" s="539">
        <f>+'2016'!I11-'2015'!I11</f>
        <v>0</v>
      </c>
      <c r="J11" s="548">
        <f>+'2016'!J11-'2015'!J11</f>
        <v>0</v>
      </c>
      <c r="K11" s="548">
        <f>+'2016'!K11-'2015'!K11</f>
        <v>0</v>
      </c>
      <c r="L11" s="548">
        <f>+'2016'!L11-'2015'!L11</f>
        <v>0</v>
      </c>
      <c r="M11" s="548">
        <f>+'2016'!M11-'2015'!M11</f>
        <v>0</v>
      </c>
      <c r="N11" s="557">
        <f>+'2016'!N11-'2015'!N11</f>
        <v>0</v>
      </c>
      <c r="O11" s="557">
        <f>+'2016'!O11-'2015'!O11</f>
        <v>0</v>
      </c>
      <c r="Q11" s="526" t="s">
        <v>37</v>
      </c>
      <c r="R11" s="877">
        <f>IFERROR(B11/'2015'!B11,"")</f>
        <v>4.154002026342452E-3</v>
      </c>
      <c r="S11" s="877">
        <f>IFERROR(C11/'2015'!C11,"")</f>
        <v>4.0175718234809456E-2</v>
      </c>
      <c r="T11" s="877">
        <f>IFERROR(D11/'2015'!D11,"")</f>
        <v>-8.4865008644766593E-2</v>
      </c>
      <c r="U11" s="877">
        <f>IFERROR(E11/'2015'!E11,"")</f>
        <v>-2.1499880695325317E-2</v>
      </c>
      <c r="V11" s="771" t="str">
        <f>IFERROR(F11/'2015'!F11,"")</f>
        <v/>
      </c>
      <c r="W11" s="771" t="str">
        <f>IFERROR(G11/'2015'!G11,"")</f>
        <v/>
      </c>
      <c r="X11" s="771" t="str">
        <f>IFERROR(H11/'2015'!H11,"")</f>
        <v/>
      </c>
      <c r="Y11" s="771" t="str">
        <f>IFERROR(I11/'2015'!I11,"")</f>
        <v/>
      </c>
      <c r="Z11" s="569" t="str">
        <f>IFERROR(J11/'2015'!J11,"")</f>
        <v/>
      </c>
      <c r="AA11" s="569" t="str">
        <f>IFERROR(K11/'2015'!K11,"")</f>
        <v/>
      </c>
      <c r="AB11" s="569" t="str">
        <f>IFERROR(L11/'2015'!L11,"")</f>
        <v/>
      </c>
      <c r="AC11" s="569" t="str">
        <f>IFERROR(M11/'2015'!M11,"")</f>
        <v/>
      </c>
      <c r="AD11" s="570" t="str">
        <f>IFERROR(N11/'2015'!N11,"")</f>
        <v/>
      </c>
      <c r="AE11" s="570" t="str">
        <f>IFERROR(O11/'2015'!O11,"")</f>
        <v/>
      </c>
    </row>
    <row r="12" spans="1:31" ht="15" customHeight="1" x14ac:dyDescent="0.3">
      <c r="A12" s="525" t="s">
        <v>14</v>
      </c>
      <c r="B12" s="529">
        <f>+'2016'!B12-'2015'!B12</f>
        <v>20150</v>
      </c>
      <c r="C12" s="529">
        <f>+'2016'!C12-'2015'!C12</f>
        <v>47536</v>
      </c>
      <c r="D12" s="529">
        <f>+'2016'!D12-'2015'!D12</f>
        <v>-52381</v>
      </c>
      <c r="E12" s="529">
        <f>+'2016'!E12-'2015'!E12</f>
        <v>15305</v>
      </c>
      <c r="F12" s="539">
        <f>+'2016'!F12-'2015'!F12</f>
        <v>770</v>
      </c>
      <c r="G12" s="539">
        <f>+'2016'!G12-'2015'!G12</f>
        <v>1765.6959084697301</v>
      </c>
      <c r="H12" s="539">
        <f>+'2016'!H12-'2015'!H12</f>
        <v>2353</v>
      </c>
      <c r="I12" s="539">
        <f>+'2016'!I12-'2015'!I12</f>
        <v>4888.6959084697301</v>
      </c>
      <c r="J12" s="548">
        <f>+'2016'!J12-'2015'!J12</f>
        <v>20920</v>
      </c>
      <c r="K12" s="548">
        <f>+'2016'!K12-'2015'!K12</f>
        <v>49301.69590846973</v>
      </c>
      <c r="L12" s="548">
        <f>+'2016'!L12-'2015'!L12</f>
        <v>-50028</v>
      </c>
      <c r="M12" s="548">
        <f>+'2016'!M12-'2015'!M12</f>
        <v>20193.695908469614</v>
      </c>
      <c r="N12" s="557">
        <f>+'2016'!N12-'2015'!N12</f>
        <v>0</v>
      </c>
      <c r="O12" s="557">
        <f>+'2016'!O12-'2015'!O12</f>
        <v>0</v>
      </c>
      <c r="Q12" s="525" t="s">
        <v>14</v>
      </c>
      <c r="R12" s="877">
        <f>IFERROR(B12/'2015'!B12,"")</f>
        <v>0.1061313922437177</v>
      </c>
      <c r="S12" s="877">
        <f>IFERROR(C12/'2015'!C12,"")</f>
        <v>0.10921263333953651</v>
      </c>
      <c r="T12" s="877">
        <f>IFERROR(D12/'2015'!D12,"")</f>
        <v>-0.12738879836571901</v>
      </c>
      <c r="U12" s="877">
        <f>IFERROR(E12/'2015'!E12,"")</f>
        <v>1.4768746803562641E-2</v>
      </c>
      <c r="V12" s="771">
        <f>IFERROR(F12/'2015'!F12,"")</f>
        <v>1.2601053906326711E-2</v>
      </c>
      <c r="W12" s="771">
        <f>IFERROR(G12/'2015'!G12,"")</f>
        <v>1.2195801245137279E-2</v>
      </c>
      <c r="X12" s="771">
        <f>IFERROR(H12/'2015'!H12,"")</f>
        <v>1.2913671038911147E-2</v>
      </c>
      <c r="Y12" s="771">
        <f>IFERROR(I12/'2015'!I12,"")</f>
        <v>1.2596647492159729E-2</v>
      </c>
      <c r="Z12" s="569">
        <f>IFERROR(J12/'2015'!J12,"")</f>
        <v>8.3358237204391047E-2</v>
      </c>
      <c r="AA12" s="569">
        <f>IFERROR(K12/'2015'!K12,"")</f>
        <v>8.4997062113767549E-2</v>
      </c>
      <c r="AB12" s="569">
        <f>IFERROR(L12/'2015'!L12,"")</f>
        <v>-8.4307381193124364E-2</v>
      </c>
      <c r="AC12" s="569">
        <f>IFERROR(M12/'2015'!M12,"")</f>
        <v>1.4176934164419258E-2</v>
      </c>
      <c r="AD12" s="570" t="str">
        <f>IFERROR(N12/'2015'!N12,"")</f>
        <v/>
      </c>
      <c r="AE12" s="570" t="str">
        <f>IFERROR(O12/'2015'!O12,"")</f>
        <v/>
      </c>
    </row>
    <row r="13" spans="1:31" ht="15" customHeight="1" x14ac:dyDescent="0.3">
      <c r="A13" s="526" t="s">
        <v>15</v>
      </c>
      <c r="B13" s="529">
        <f>+'2016'!B13-'2015'!B13</f>
        <v>23687</v>
      </c>
      <c r="C13" s="529">
        <f>+'2016'!C13-'2015'!C13</f>
        <v>31326</v>
      </c>
      <c r="D13" s="529">
        <f>+'2016'!D13-'2015'!D13</f>
        <v>-46871</v>
      </c>
      <c r="E13" s="529">
        <f>+'2016'!E13-'2015'!E13</f>
        <v>8142</v>
      </c>
      <c r="F13" s="539">
        <f>+'2016'!F13-'2015'!F13</f>
        <v>0</v>
      </c>
      <c r="G13" s="539">
        <f>+'2016'!G13-'2015'!G13</f>
        <v>0</v>
      </c>
      <c r="H13" s="539">
        <f>+'2016'!H13-'2015'!H13</f>
        <v>0</v>
      </c>
      <c r="I13" s="539">
        <f>+'2016'!I13-'2015'!I13</f>
        <v>0</v>
      </c>
      <c r="J13" s="548">
        <f>+'2016'!J13-'2015'!J13</f>
        <v>0</v>
      </c>
      <c r="K13" s="548">
        <f>+'2016'!K13-'2015'!K13</f>
        <v>0</v>
      </c>
      <c r="L13" s="548">
        <f>+'2016'!L13-'2015'!L13</f>
        <v>0</v>
      </c>
      <c r="M13" s="548">
        <f>+'2016'!M13-'2015'!M13</f>
        <v>0</v>
      </c>
      <c r="N13" s="557">
        <f>+'2016'!N13-'2015'!N13</f>
        <v>0</v>
      </c>
      <c r="O13" s="557">
        <f>+'2016'!O13-'2015'!O13</f>
        <v>0</v>
      </c>
      <c r="Q13" s="526" t="s">
        <v>15</v>
      </c>
      <c r="R13" s="877">
        <f>IFERROR(B13/'2015'!B13,"")</f>
        <v>0.23607442917368468</v>
      </c>
      <c r="S13" s="877">
        <f>IFERROR(C13/'2015'!C13,"")</f>
        <v>0.14521198186588544</v>
      </c>
      <c r="T13" s="877">
        <f>IFERROR(D13/'2015'!D13,"")</f>
        <v>-0.22333987725384058</v>
      </c>
      <c r="U13" s="877">
        <f>IFERROR(E13/'2015'!E13,"")</f>
        <v>1.5481235989025092E-2</v>
      </c>
      <c r="V13" s="771" t="str">
        <f>IFERROR(F13/'2015'!F13,"")</f>
        <v/>
      </c>
      <c r="W13" s="771" t="str">
        <f>IFERROR(G13/'2015'!G13,"")</f>
        <v/>
      </c>
      <c r="X13" s="771" t="str">
        <f>IFERROR(H13/'2015'!H13,"")</f>
        <v/>
      </c>
      <c r="Y13" s="771" t="str">
        <f>IFERROR(I13/'2015'!I13,"")</f>
        <v/>
      </c>
      <c r="Z13" s="569" t="str">
        <f>IFERROR(J13/'2015'!J13,"")</f>
        <v/>
      </c>
      <c r="AA13" s="569" t="str">
        <f>IFERROR(K13/'2015'!K13,"")</f>
        <v/>
      </c>
      <c r="AB13" s="569" t="str">
        <f>IFERROR(L13/'2015'!L13,"")</f>
        <v/>
      </c>
      <c r="AC13" s="569" t="str">
        <f>IFERROR(M13/'2015'!M13,"")</f>
        <v/>
      </c>
      <c r="AD13" s="570" t="str">
        <f>IFERROR(N13/'2015'!N13,"")</f>
        <v/>
      </c>
      <c r="AE13" s="570" t="str">
        <f>IFERROR(O13/'2015'!O13,"")</f>
        <v/>
      </c>
    </row>
    <row r="14" spans="1:31" ht="15" customHeight="1" x14ac:dyDescent="0.3">
      <c r="A14" s="526" t="s">
        <v>16</v>
      </c>
      <c r="B14" s="529">
        <f>+'2016'!B14-'2015'!B14</f>
        <v>-3537</v>
      </c>
      <c r="C14" s="529">
        <f>+'2016'!C14-'2015'!C14</f>
        <v>16210</v>
      </c>
      <c r="D14" s="529">
        <f>+'2016'!D14-'2015'!D14</f>
        <v>-5510</v>
      </c>
      <c r="E14" s="529">
        <f>+'2016'!E14-'2015'!E14</f>
        <v>7163</v>
      </c>
      <c r="F14" s="539">
        <f>+'2016'!F14-'2015'!F14</f>
        <v>0</v>
      </c>
      <c r="G14" s="539">
        <f>+'2016'!G14-'2015'!G14</f>
        <v>0</v>
      </c>
      <c r="H14" s="539">
        <f>+'2016'!H14-'2015'!H14</f>
        <v>0</v>
      </c>
      <c r="I14" s="539">
        <f>+'2016'!I14-'2015'!I14</f>
        <v>0</v>
      </c>
      <c r="J14" s="548">
        <f>+'2016'!J14-'2015'!J14</f>
        <v>0</v>
      </c>
      <c r="K14" s="548">
        <f>+'2016'!K14-'2015'!K14</f>
        <v>0</v>
      </c>
      <c r="L14" s="548">
        <f>+'2016'!L14-'2015'!L14</f>
        <v>0</v>
      </c>
      <c r="M14" s="548">
        <f>+'2016'!M14-'2015'!M14</f>
        <v>0</v>
      </c>
      <c r="N14" s="557">
        <f>+'2016'!N14-'2015'!N14</f>
        <v>0</v>
      </c>
      <c r="O14" s="557">
        <f>+'2016'!O14-'2015'!O14</f>
        <v>0</v>
      </c>
      <c r="Q14" s="526" t="s">
        <v>16</v>
      </c>
      <c r="R14" s="877">
        <f>IFERROR(B14/'2015'!B14,"")</f>
        <v>-3.9509841156363801E-2</v>
      </c>
      <c r="S14" s="877">
        <f>IFERROR(C14/'2015'!C14,"")</f>
        <v>7.3837884619764496E-2</v>
      </c>
      <c r="T14" s="877">
        <f>IFERROR(D14/'2015'!D14,"")</f>
        <v>-2.7368546536463249E-2</v>
      </c>
      <c r="U14" s="877">
        <f>IFERROR(E14/'2015'!E14,"")</f>
        <v>1.4034558361073939E-2</v>
      </c>
      <c r="V14" s="771" t="str">
        <f>IFERROR(F14/'2015'!F14,"")</f>
        <v/>
      </c>
      <c r="W14" s="771" t="str">
        <f>IFERROR(G14/'2015'!G14,"")</f>
        <v/>
      </c>
      <c r="X14" s="771" t="str">
        <f>IFERROR(H14/'2015'!H14,"")</f>
        <v/>
      </c>
      <c r="Y14" s="771" t="str">
        <f>IFERROR(I14/'2015'!I14,"")</f>
        <v/>
      </c>
      <c r="Z14" s="569" t="str">
        <f>IFERROR(J14/'2015'!J14,"")</f>
        <v/>
      </c>
      <c r="AA14" s="569" t="str">
        <f>IFERROR(K14/'2015'!K14,"")</f>
        <v/>
      </c>
      <c r="AB14" s="569" t="str">
        <f>IFERROR(L14/'2015'!L14,"")</f>
        <v/>
      </c>
      <c r="AC14" s="569" t="str">
        <f>IFERROR(M14/'2015'!M14,"")</f>
        <v/>
      </c>
      <c r="AD14" s="570" t="str">
        <f>IFERROR(N14/'2015'!N14,"")</f>
        <v/>
      </c>
      <c r="AE14" s="570" t="str">
        <f>IFERROR(O14/'2015'!O14,"")</f>
        <v/>
      </c>
    </row>
    <row r="15" spans="1:31" ht="15" customHeight="1" x14ac:dyDescent="0.3">
      <c r="A15" s="525" t="s">
        <v>17</v>
      </c>
      <c r="B15" s="529">
        <f>+'2016'!B15-'2015'!B15</f>
        <v>15252</v>
      </c>
      <c r="C15" s="529">
        <f>+'2016'!C15-'2015'!C15</f>
        <v>71634</v>
      </c>
      <c r="D15" s="529">
        <f>+'2016'!D15-'2015'!D15</f>
        <v>-37819</v>
      </c>
      <c r="E15" s="529">
        <f>+'2016'!E15-'2015'!E15</f>
        <v>49067</v>
      </c>
      <c r="F15" s="539">
        <f>+'2016'!F15-'2015'!F15</f>
        <v>875</v>
      </c>
      <c r="G15" s="539">
        <f>+'2016'!G15-'2015'!G15</f>
        <v>2194</v>
      </c>
      <c r="H15" s="539">
        <f>+'2016'!H15-'2015'!H15</f>
        <v>2827</v>
      </c>
      <c r="I15" s="539">
        <f>+'2016'!I15-'2015'!I15</f>
        <v>5896</v>
      </c>
      <c r="J15" s="548">
        <f>+'2016'!J15-'2015'!J15</f>
        <v>16127</v>
      </c>
      <c r="K15" s="548">
        <f>+'2016'!K15-'2015'!K15</f>
        <v>73828</v>
      </c>
      <c r="L15" s="548">
        <f>+'2016'!L15-'2015'!L15</f>
        <v>-34992</v>
      </c>
      <c r="M15" s="548">
        <f>+'2016'!M15-'2015'!M15</f>
        <v>54963</v>
      </c>
      <c r="N15" s="557">
        <f>+'2016'!N15-'2015'!N15</f>
        <v>0</v>
      </c>
      <c r="O15" s="557">
        <f>+'2016'!O15-'2015'!O15</f>
        <v>0</v>
      </c>
      <c r="Q15" s="525" t="s">
        <v>17</v>
      </c>
      <c r="R15" s="877">
        <f>IFERROR(B15/'2015'!B15,"")</f>
        <v>5.3801219099221129E-2</v>
      </c>
      <c r="S15" s="877">
        <f>IFERROR(C15/'2015'!C15,"")</f>
        <v>0.11900027410231492</v>
      </c>
      <c r="T15" s="877">
        <f>IFERROR(D15/'2015'!D15,"")</f>
        <v>-6.2792844547902807E-2</v>
      </c>
      <c r="U15" s="877">
        <f>IFERROR(E15/'2015'!E15,"")</f>
        <v>3.2981008042426908E-2</v>
      </c>
      <c r="V15" s="771">
        <f>IFERROR(F15/'2015'!F15,"")</f>
        <v>1.0080529026163293E-2</v>
      </c>
      <c r="W15" s="771">
        <f>IFERROR(G15/'2015'!G15,"")</f>
        <v>1.0630050969980038E-2</v>
      </c>
      <c r="X15" s="771">
        <f>IFERROR(H15/'2015'!H15,"")</f>
        <v>1.0194808473194903E-2</v>
      </c>
      <c r="Y15" s="771">
        <f>IFERROR(I15/'2015'!I15,"")</f>
        <v>1.033488461774424E-2</v>
      </c>
      <c r="Z15" s="569">
        <f>IFERROR(J15/'2015'!J15,"")</f>
        <v>4.3552468477324469E-2</v>
      </c>
      <c r="AA15" s="569">
        <f>IFERROR(K15/'2015'!K15,"")</f>
        <v>9.1330482296894583E-2</v>
      </c>
      <c r="AB15" s="569">
        <f>IFERROR(L15/'2015'!L15,"")</f>
        <v>-3.9782623524864141E-2</v>
      </c>
      <c r="AC15" s="569">
        <f>IFERROR(M15/'2015'!M15,"")</f>
        <v>2.6704012671081464E-2</v>
      </c>
      <c r="AD15" s="570" t="str">
        <f>IFERROR(N15/'2015'!N15,"")</f>
        <v/>
      </c>
      <c r="AE15" s="570" t="str">
        <f>IFERROR(O15/'2015'!O15,"")</f>
        <v/>
      </c>
    </row>
    <row r="16" spans="1:31" ht="15" customHeight="1" x14ac:dyDescent="0.3">
      <c r="A16" s="526" t="s">
        <v>18</v>
      </c>
      <c r="B16" s="529">
        <f>+'2016'!B16-'2015'!B16</f>
        <v>-4366</v>
      </c>
      <c r="C16" s="529">
        <f>+'2016'!C16-'2015'!C16</f>
        <v>31446</v>
      </c>
      <c r="D16" s="529">
        <f>+'2016'!D16-'2015'!D16</f>
        <v>-16122</v>
      </c>
      <c r="E16" s="529">
        <f>+'2016'!E16-'2015'!E16</f>
        <v>10958</v>
      </c>
      <c r="F16" s="539">
        <f>+'2016'!F16-'2015'!F16</f>
        <v>0</v>
      </c>
      <c r="G16" s="539">
        <f>+'2016'!G16-'2015'!G16</f>
        <v>0</v>
      </c>
      <c r="H16" s="539">
        <f>+'2016'!H16-'2015'!H16</f>
        <v>0</v>
      </c>
      <c r="I16" s="539">
        <f>+'2016'!I16-'2015'!I16</f>
        <v>0</v>
      </c>
      <c r="J16" s="548">
        <f>+'2016'!J16-'2015'!J16</f>
        <v>0</v>
      </c>
      <c r="K16" s="548">
        <f>+'2016'!K16-'2015'!K16</f>
        <v>0</v>
      </c>
      <c r="L16" s="548">
        <f>+'2016'!L16-'2015'!L16</f>
        <v>0</v>
      </c>
      <c r="M16" s="548">
        <f>+'2016'!M16-'2015'!M16</f>
        <v>0</v>
      </c>
      <c r="N16" s="557">
        <f>+'2016'!N16-'2015'!N16</f>
        <v>0</v>
      </c>
      <c r="O16" s="557">
        <f>+'2016'!O16-'2015'!O16</f>
        <v>0</v>
      </c>
      <c r="Q16" s="526" t="s">
        <v>18</v>
      </c>
      <c r="R16" s="877">
        <f>IFERROR(B16/'2015'!B16,"")</f>
        <v>-2.9435361537165011E-2</v>
      </c>
      <c r="S16" s="877">
        <f>IFERROR(C16/'2015'!C16,"")</f>
        <v>0.10307831998662598</v>
      </c>
      <c r="T16" s="877">
        <f>IFERROR(D16/'2015'!D16,"")</f>
        <v>-5.5057714636978346E-2</v>
      </c>
      <c r="U16" s="877">
        <f>IFERROR(E16/'2015'!E16,"")</f>
        <v>1.4684795514423477E-2</v>
      </c>
      <c r="V16" s="771" t="str">
        <f>IFERROR(F16/'2015'!F16,"")</f>
        <v/>
      </c>
      <c r="W16" s="771" t="str">
        <f>IFERROR(G16/'2015'!G16,"")</f>
        <v/>
      </c>
      <c r="X16" s="771" t="str">
        <f>IFERROR(H16/'2015'!H16,"")</f>
        <v/>
      </c>
      <c r="Y16" s="771" t="str">
        <f>IFERROR(I16/'2015'!I16,"")</f>
        <v/>
      </c>
      <c r="Z16" s="569" t="str">
        <f>IFERROR(J16/'2015'!J16,"")</f>
        <v/>
      </c>
      <c r="AA16" s="569" t="str">
        <f>IFERROR(K16/'2015'!K16,"")</f>
        <v/>
      </c>
      <c r="AB16" s="569" t="str">
        <f>IFERROR(L16/'2015'!L16,"")</f>
        <v/>
      </c>
      <c r="AC16" s="569" t="str">
        <f>IFERROR(M16/'2015'!M16,"")</f>
        <v/>
      </c>
      <c r="AD16" s="570" t="str">
        <f>IFERROR(N16/'2015'!N16,"")</f>
        <v/>
      </c>
      <c r="AE16" s="570" t="str">
        <f>IFERROR(O16/'2015'!O16,"")</f>
        <v/>
      </c>
    </row>
    <row r="17" spans="1:31" ht="15" customHeight="1" x14ac:dyDescent="0.3">
      <c r="A17" s="526" t="s">
        <v>19</v>
      </c>
      <c r="B17" s="529">
        <f>+'2016'!B17-'2015'!B17</f>
        <v>19618</v>
      </c>
      <c r="C17" s="529">
        <f>+'2016'!C17-'2015'!C17</f>
        <v>40188</v>
      </c>
      <c r="D17" s="529">
        <f>+'2016'!D17-'2015'!D17</f>
        <v>-21697</v>
      </c>
      <c r="E17" s="529">
        <f>+'2016'!E17-'2015'!E17</f>
        <v>38109</v>
      </c>
      <c r="F17" s="539">
        <f>+'2016'!F17-'2015'!F17</f>
        <v>0</v>
      </c>
      <c r="G17" s="539">
        <f>+'2016'!G17-'2015'!G17</f>
        <v>0</v>
      </c>
      <c r="H17" s="539">
        <f>+'2016'!H17-'2015'!H17</f>
        <v>0</v>
      </c>
      <c r="I17" s="539">
        <f>+'2016'!I17-'2015'!I17</f>
        <v>0</v>
      </c>
      <c r="J17" s="548">
        <f>+'2016'!J17-'2015'!J17</f>
        <v>0</v>
      </c>
      <c r="K17" s="548">
        <f>+'2016'!K17-'2015'!K17</f>
        <v>0</v>
      </c>
      <c r="L17" s="548">
        <f>+'2016'!L17-'2015'!L17</f>
        <v>0</v>
      </c>
      <c r="M17" s="548">
        <f>+'2016'!M17-'2015'!M17</f>
        <v>0</v>
      </c>
      <c r="N17" s="557">
        <f>+'2016'!N17-'2015'!N17</f>
        <v>0</v>
      </c>
      <c r="O17" s="557">
        <f>+'2016'!O17-'2015'!O17</f>
        <v>0</v>
      </c>
      <c r="Q17" s="526" t="s">
        <v>19</v>
      </c>
      <c r="R17" s="877">
        <f>IFERROR(B17/'2015'!B17,"")</f>
        <v>0.14514327145742548</v>
      </c>
      <c r="S17" s="877">
        <f>IFERROR(C17/'2015'!C17,"")</f>
        <v>0.13536053028669973</v>
      </c>
      <c r="T17" s="877">
        <f>IFERROR(D17/'2015'!D17,"")</f>
        <v>-7.0112000827242116E-2</v>
      </c>
      <c r="U17" s="877">
        <f>IFERROR(E17/'2015'!E17,"")</f>
        <v>5.1393015167473341E-2</v>
      </c>
      <c r="V17" s="771" t="str">
        <f>IFERROR(F17/'2015'!F17,"")</f>
        <v/>
      </c>
      <c r="W17" s="771" t="str">
        <f>IFERROR(G17/'2015'!G17,"")</f>
        <v/>
      </c>
      <c r="X17" s="771" t="str">
        <f>IFERROR(H17/'2015'!H17,"")</f>
        <v/>
      </c>
      <c r="Y17" s="771" t="str">
        <f>IFERROR(I17/'2015'!I17,"")</f>
        <v/>
      </c>
      <c r="Z17" s="569" t="str">
        <f>IFERROR(J17/'2015'!J17,"")</f>
        <v/>
      </c>
      <c r="AA17" s="569" t="str">
        <f>IFERROR(K17/'2015'!K17,"")</f>
        <v/>
      </c>
      <c r="AB17" s="569" t="str">
        <f>IFERROR(L17/'2015'!L17,"")</f>
        <v/>
      </c>
      <c r="AC17" s="569" t="str">
        <f>IFERROR(M17/'2015'!M17,"")</f>
        <v/>
      </c>
      <c r="AD17" s="570" t="str">
        <f>IFERROR(N17/'2015'!N17,"")</f>
        <v/>
      </c>
      <c r="AE17" s="570" t="str">
        <f>IFERROR(O17/'2015'!O17,"")</f>
        <v/>
      </c>
    </row>
    <row r="18" spans="1:31" ht="15" customHeight="1" x14ac:dyDescent="0.3">
      <c r="A18" s="525" t="s">
        <v>20</v>
      </c>
      <c r="B18" s="529">
        <f>+'2016'!B18-'2015'!B18</f>
        <v>18534</v>
      </c>
      <c r="C18" s="529">
        <f>+'2016'!C18-'2015'!C18</f>
        <v>47511.04215859226</v>
      </c>
      <c r="D18" s="529">
        <f>+'2016'!D18-'2015'!D18</f>
        <v>-60011.033995141159</v>
      </c>
      <c r="E18" s="529">
        <f>+'2016'!E18-'2015'!E18</f>
        <v>6034.0081634512171</v>
      </c>
      <c r="F18" s="539">
        <f>+'2016'!F18-'2015'!F18</f>
        <v>1012</v>
      </c>
      <c r="G18" s="539">
        <f>+'2016'!G18-'2015'!G18</f>
        <v>2484</v>
      </c>
      <c r="H18" s="539">
        <f>+'2016'!H18-'2015'!H18</f>
        <v>3303</v>
      </c>
      <c r="I18" s="539">
        <f>+'2016'!I18-'2015'!I18</f>
        <v>6799</v>
      </c>
      <c r="J18" s="548">
        <f>+'2016'!J18-'2015'!J18</f>
        <v>19546</v>
      </c>
      <c r="K18" s="548">
        <f>+'2016'!K18-'2015'!K18</f>
        <v>49995.04215859226</v>
      </c>
      <c r="L18" s="548">
        <f>+'2016'!L18-'2015'!L18</f>
        <v>-56708.033995141159</v>
      </c>
      <c r="M18" s="548">
        <f>+'2016'!M18-'2015'!M18</f>
        <v>12833.008163451217</v>
      </c>
      <c r="N18" s="557">
        <f>+'2016'!N18-'2015'!N18</f>
        <v>0</v>
      </c>
      <c r="O18" s="557">
        <f>+'2016'!O18-'2015'!O18</f>
        <v>0</v>
      </c>
      <c r="Q18" s="525" t="s">
        <v>20</v>
      </c>
      <c r="R18" s="877">
        <f>IFERROR(B18/'2015'!B18,"")</f>
        <v>4.6777161115443729E-2</v>
      </c>
      <c r="S18" s="877">
        <f>IFERROR(C18/'2015'!C18,"")</f>
        <v>6.446799789472353E-2</v>
      </c>
      <c r="T18" s="877">
        <f>IFERROR(D18/'2015'!D18,"")</f>
        <v>-8.124750376800087E-2</v>
      </c>
      <c r="U18" s="877">
        <f>IFERROR(E18/'2015'!E18,"")</f>
        <v>3.2236221570389619E-3</v>
      </c>
      <c r="V18" s="771">
        <f>IFERROR(F18/'2015'!F18,"")</f>
        <v>9.7944330455654056E-3</v>
      </c>
      <c r="W18" s="771">
        <f>IFERROR(G18/'2015'!G18,"")</f>
        <v>1.0233382083341916E-2</v>
      </c>
      <c r="X18" s="771">
        <f>IFERROR(H18/'2015'!H18,"")</f>
        <v>1.0681024447031432E-2</v>
      </c>
      <c r="Y18" s="771">
        <f>IFERROR(I18/'2015'!I18,"")</f>
        <v>1.0375416412965684E-2</v>
      </c>
      <c r="Z18" s="569">
        <f>IFERROR(J18/'2015'!J18,"")</f>
        <v>3.912776277517651E-2</v>
      </c>
      <c r="AA18" s="569">
        <f>IFERROR(K18/'2015'!K18,"")</f>
        <v>5.1030660534867676E-2</v>
      </c>
      <c r="AB18" s="569">
        <f>IFERROR(L18/'2015'!L18,"")</f>
        <v>-5.4117947202292196E-2</v>
      </c>
      <c r="AC18" s="569">
        <f>IFERROR(M18/'2015'!M18,"")</f>
        <v>5.0781379849093762E-3</v>
      </c>
      <c r="AD18" s="570" t="str">
        <f>IFERROR(N18/'2015'!N18,"")</f>
        <v/>
      </c>
      <c r="AE18" s="570" t="str">
        <f>IFERROR(O18/'2015'!O18,"")</f>
        <v/>
      </c>
    </row>
    <row r="19" spans="1:31" ht="15" customHeight="1" x14ac:dyDescent="0.3">
      <c r="A19" s="526" t="s">
        <v>21</v>
      </c>
      <c r="B19" s="529">
        <f>+'2016'!B19-'2015'!B19</f>
        <v>25025</v>
      </c>
      <c r="C19" s="529">
        <f>+'2016'!C19-'2015'!C19</f>
        <v>27160.04215859226</v>
      </c>
      <c r="D19" s="529">
        <f>+'2016'!D19-'2015'!D19</f>
        <v>-27022.033995141159</v>
      </c>
      <c r="E19" s="529">
        <f>+'2016'!E19-'2015'!E19</f>
        <v>25163.008163451101</v>
      </c>
      <c r="F19" s="539">
        <f>+'2016'!F19-'2015'!F19</f>
        <v>0</v>
      </c>
      <c r="G19" s="539">
        <f>+'2016'!G19-'2015'!G19</f>
        <v>0</v>
      </c>
      <c r="H19" s="539">
        <f>+'2016'!H19-'2015'!H19</f>
        <v>0</v>
      </c>
      <c r="I19" s="539">
        <f>+'2016'!I19-'2015'!I19</f>
        <v>0</v>
      </c>
      <c r="J19" s="548">
        <f>+'2016'!J19-'2015'!J19</f>
        <v>0</v>
      </c>
      <c r="K19" s="548">
        <f>+'2016'!K19-'2015'!K19</f>
        <v>0</v>
      </c>
      <c r="L19" s="548">
        <f>+'2016'!L19-'2015'!L19</f>
        <v>0</v>
      </c>
      <c r="M19" s="548">
        <f>+'2016'!M19-'2015'!M19</f>
        <v>0</v>
      </c>
      <c r="N19" s="557">
        <f>+'2016'!N19-'2015'!N19</f>
        <v>0</v>
      </c>
      <c r="O19" s="557">
        <f>+'2016'!O19-'2015'!O19</f>
        <v>0</v>
      </c>
      <c r="Q19" s="526" t="s">
        <v>21</v>
      </c>
      <c r="R19" s="877">
        <f>IFERROR(B19/'2015'!B19,"")</f>
        <v>0.14494894206096834</v>
      </c>
      <c r="S19" s="877">
        <f>IFERROR(C19/'2015'!C19,"")</f>
        <v>7.7428901295095248E-2</v>
      </c>
      <c r="T19" s="877">
        <f>IFERROR(D19/'2015'!D19,"")</f>
        <v>-7.2686568855127323E-2</v>
      </c>
      <c r="U19" s="877">
        <f>IFERROR(E19/'2015'!E19,"")</f>
        <v>2.8109377079656009E-2</v>
      </c>
      <c r="V19" s="771" t="str">
        <f>IFERROR(F19/'2015'!F19,"")</f>
        <v/>
      </c>
      <c r="W19" s="771" t="str">
        <f>IFERROR(G19/'2015'!G19,"")</f>
        <v/>
      </c>
      <c r="X19" s="771" t="str">
        <f>IFERROR(H19/'2015'!H19,"")</f>
        <v/>
      </c>
      <c r="Y19" s="771" t="str">
        <f>IFERROR(I19/'2015'!I19,"")</f>
        <v/>
      </c>
      <c r="Z19" s="569" t="str">
        <f>IFERROR(J19/'2015'!J19,"")</f>
        <v/>
      </c>
      <c r="AA19" s="569" t="str">
        <f>IFERROR(K19/'2015'!K19,"")</f>
        <v/>
      </c>
      <c r="AB19" s="569" t="str">
        <f>IFERROR(L19/'2015'!L19,"")</f>
        <v/>
      </c>
      <c r="AC19" s="569" t="str">
        <f>IFERROR(M19/'2015'!M19,"")</f>
        <v/>
      </c>
      <c r="AD19" s="570" t="str">
        <f>IFERROR(N19/'2015'!N19,"")</f>
        <v/>
      </c>
      <c r="AE19" s="570" t="str">
        <f>IFERROR(O19/'2015'!O19,"")</f>
        <v/>
      </c>
    </row>
    <row r="20" spans="1:31" ht="15" customHeight="1" x14ac:dyDescent="0.3">
      <c r="A20" s="526" t="s">
        <v>22</v>
      </c>
      <c r="B20" s="529">
        <f>+'2016'!B20-'2015'!B20</f>
        <v>-6491</v>
      </c>
      <c r="C20" s="529">
        <f>+'2016'!C20-'2015'!C20</f>
        <v>20351</v>
      </c>
      <c r="D20" s="529">
        <f>+'2016'!D20-'2015'!D20</f>
        <v>-32989</v>
      </c>
      <c r="E20" s="529">
        <f>+'2016'!E20-'2015'!E20</f>
        <v>-19129</v>
      </c>
      <c r="F20" s="539">
        <f>+'2016'!F20-'2015'!F20</f>
        <v>0</v>
      </c>
      <c r="G20" s="539">
        <f>+'2016'!G20-'2015'!G20</f>
        <v>0</v>
      </c>
      <c r="H20" s="539">
        <f>+'2016'!H20-'2015'!H20</f>
        <v>0</v>
      </c>
      <c r="I20" s="539">
        <f>+'2016'!I20-'2015'!I20</f>
        <v>0</v>
      </c>
      <c r="J20" s="548">
        <f>+'2016'!J20-'2015'!J20</f>
        <v>0</v>
      </c>
      <c r="K20" s="548">
        <f>+'2016'!K20-'2015'!K20</f>
        <v>0</v>
      </c>
      <c r="L20" s="548">
        <f>+'2016'!L20-'2015'!L20</f>
        <v>0</v>
      </c>
      <c r="M20" s="548">
        <f>+'2016'!M20-'2015'!M20</f>
        <v>0</v>
      </c>
      <c r="N20" s="557">
        <f>+'2016'!N20-'2015'!N20</f>
        <v>0</v>
      </c>
      <c r="O20" s="557">
        <f>+'2016'!O20-'2015'!O20</f>
        <v>0</v>
      </c>
      <c r="Q20" s="526" t="s">
        <v>22</v>
      </c>
      <c r="R20" s="877">
        <f>IFERROR(B20/'2015'!B20,"")</f>
        <v>-2.9033152630919792E-2</v>
      </c>
      <c r="S20" s="877">
        <f>IFERROR(C20/'2015'!C20,"")</f>
        <v>5.2695903903966113E-2</v>
      </c>
      <c r="T20" s="877">
        <f>IFERROR(D20/'2015'!D20,"")</f>
        <v>-8.9922831387535818E-2</v>
      </c>
      <c r="U20" s="877">
        <f>IFERROR(E20/'2015'!E20,"")</f>
        <v>-1.9586782275339228E-2</v>
      </c>
      <c r="V20" s="771" t="str">
        <f>IFERROR(F20/'2015'!F20,"")</f>
        <v/>
      </c>
      <c r="W20" s="771" t="str">
        <f>IFERROR(G20/'2015'!G20,"")</f>
        <v/>
      </c>
      <c r="X20" s="771" t="str">
        <f>IFERROR(H20/'2015'!H20,"")</f>
        <v/>
      </c>
      <c r="Y20" s="771" t="str">
        <f>IFERROR(I20/'2015'!I20,"")</f>
        <v/>
      </c>
      <c r="Z20" s="569" t="str">
        <f>IFERROR(J20/'2015'!J20,"")</f>
        <v/>
      </c>
      <c r="AA20" s="569" t="str">
        <f>IFERROR(K20/'2015'!K20,"")</f>
        <v/>
      </c>
      <c r="AB20" s="569" t="str">
        <f>IFERROR(L20/'2015'!L20,"")</f>
        <v/>
      </c>
      <c r="AC20" s="569" t="str">
        <f>IFERROR(M20/'2015'!M20,"")</f>
        <v/>
      </c>
      <c r="AD20" s="570" t="str">
        <f>IFERROR(N20/'2015'!N20,"")</f>
        <v/>
      </c>
      <c r="AE20" s="570" t="str">
        <f>IFERROR(O20/'2015'!O20,"")</f>
        <v/>
      </c>
    </row>
    <row r="21" spans="1:31" ht="15" customHeight="1" x14ac:dyDescent="0.3">
      <c r="A21" s="525" t="s">
        <v>23</v>
      </c>
      <c r="B21" s="529">
        <f>+'2016'!B21-'2015'!B21</f>
        <v>10050</v>
      </c>
      <c r="C21" s="529">
        <f>+'2016'!C21-'2015'!C21</f>
        <v>98269.302455730969</v>
      </c>
      <c r="D21" s="529">
        <f>+'2016'!D21-'2015'!D21</f>
        <v>-32574</v>
      </c>
      <c r="E21" s="529">
        <f>+'2016'!E21-'2015'!E21</f>
        <v>75745.302455730969</v>
      </c>
      <c r="F21" s="539">
        <f>+'2016'!F21-'2015'!F21</f>
        <v>975</v>
      </c>
      <c r="G21" s="539">
        <f>+'2016'!G21-'2015'!G21</f>
        <v>2056</v>
      </c>
      <c r="H21" s="539">
        <f>+'2016'!H21-'2015'!H21</f>
        <v>2047</v>
      </c>
      <c r="I21" s="539">
        <f>+'2016'!I21-'2015'!I21</f>
        <v>5078</v>
      </c>
      <c r="J21" s="548">
        <f>+'2016'!J21-'2015'!J21</f>
        <v>11025</v>
      </c>
      <c r="K21" s="548">
        <f>+'2016'!K21-'2015'!K21</f>
        <v>100325.30245573097</v>
      </c>
      <c r="L21" s="548">
        <f>+'2016'!L21-'2015'!L21</f>
        <v>-30527</v>
      </c>
      <c r="M21" s="548">
        <f>+'2016'!M21-'2015'!M21</f>
        <v>80823.302455730736</v>
      </c>
      <c r="N21" s="557">
        <f>+'2016'!N21-'2015'!N21</f>
        <v>0</v>
      </c>
      <c r="O21" s="557">
        <f>+'2016'!O21-'2015'!O21</f>
        <v>0</v>
      </c>
      <c r="Q21" s="525" t="s">
        <v>23</v>
      </c>
      <c r="R21" s="877">
        <f>IFERROR(B21/'2015'!B21,"")</f>
        <v>2.6812870177685289E-2</v>
      </c>
      <c r="S21" s="877">
        <f>IFERROR(C21/'2015'!C21,"")</f>
        <v>0.15456227353915197</v>
      </c>
      <c r="T21" s="877">
        <f>IFERROR(D21/'2015'!D21,"")</f>
        <v>-6.0534541521558946E-2</v>
      </c>
      <c r="U21" s="877">
        <f>IFERROR(E21/'2015'!E21,"")</f>
        <v>4.8908420618958122E-2</v>
      </c>
      <c r="V21" s="771">
        <f>IFERROR(F21/'2015'!F21,"")</f>
        <v>9.9307394581381134E-3</v>
      </c>
      <c r="W21" s="771">
        <f>IFERROR(G21/'2015'!G21,"")</f>
        <v>1.001149179018718E-2</v>
      </c>
      <c r="X21" s="771">
        <f>IFERROR(H21/'2015'!H21,"")</f>
        <v>1.0180888577212117E-2</v>
      </c>
      <c r="Y21" s="771">
        <f>IFERROR(I21/'2015'!I21,"")</f>
        <v>1.0063276966034955E-2</v>
      </c>
      <c r="Z21" s="569">
        <f>IFERROR(J21/'2015'!J21,"")</f>
        <v>2.3308668076109935E-2</v>
      </c>
      <c r="AA21" s="569">
        <f>IFERROR(K21/'2015'!K21,"")</f>
        <v>0.11927088640706049</v>
      </c>
      <c r="AB21" s="569">
        <f>IFERROR(L21/'2015'!L21,"")</f>
        <v>-4.1299080453861027E-2</v>
      </c>
      <c r="AC21" s="569">
        <f>IFERROR(M21/'2015'!M21,"")</f>
        <v>3.9362176868205277E-2</v>
      </c>
      <c r="AD21" s="570" t="str">
        <f>IFERROR(N21/'2015'!N21,"")</f>
        <v/>
      </c>
      <c r="AE21" s="570" t="str">
        <f>IFERROR(O21/'2015'!O21,"")</f>
        <v/>
      </c>
    </row>
    <row r="22" spans="1:31" ht="15" customHeight="1" x14ac:dyDescent="0.3">
      <c r="A22" s="526" t="s">
        <v>24</v>
      </c>
      <c r="B22" s="529">
        <f>+'2016'!B22-'2015'!B22</f>
        <v>8657</v>
      </c>
      <c r="C22" s="529">
        <f>+'2016'!C22-'2015'!C22</f>
        <v>33162.302455730969</v>
      </c>
      <c r="D22" s="529">
        <f>+'2016'!D22-'2015'!D22</f>
        <v>-13245</v>
      </c>
      <c r="E22" s="529">
        <f>+'2016'!E22-'2015'!E22</f>
        <v>28574.302455730969</v>
      </c>
      <c r="F22" s="539">
        <f>+'2016'!F22-'2015'!F22</f>
        <v>0</v>
      </c>
      <c r="G22" s="539">
        <f>+'2016'!G22-'2015'!G22</f>
        <v>0</v>
      </c>
      <c r="H22" s="539">
        <f>+'2016'!H22-'2015'!H22</f>
        <v>0</v>
      </c>
      <c r="I22" s="539">
        <f>+'2016'!I22-'2015'!I22</f>
        <v>0</v>
      </c>
      <c r="J22" s="548">
        <f>+'2016'!J22-'2015'!J22</f>
        <v>0</v>
      </c>
      <c r="K22" s="548">
        <f>+'2016'!K22-'2015'!K22</f>
        <v>0</v>
      </c>
      <c r="L22" s="548">
        <f>+'2016'!L22-'2015'!L22</f>
        <v>0</v>
      </c>
      <c r="M22" s="548">
        <f>+'2016'!M22-'2015'!M22</f>
        <v>0</v>
      </c>
      <c r="N22" s="557">
        <f>+'2016'!N22-'2015'!N22</f>
        <v>0</v>
      </c>
      <c r="O22" s="557">
        <f>+'2016'!O22-'2015'!O22</f>
        <v>0</v>
      </c>
      <c r="Q22" s="526" t="s">
        <v>24</v>
      </c>
      <c r="R22" s="877">
        <f>IFERROR(B22/'2015'!B22,"")</f>
        <v>5.0014154404330671E-2</v>
      </c>
      <c r="S22" s="877">
        <f>IFERROR(C22/'2015'!C22,"")</f>
        <v>0.10932819408604207</v>
      </c>
      <c r="T22" s="877">
        <f>IFERROR(D22/'2015'!D22,"")</f>
        <v>-5.1753645613541517E-2</v>
      </c>
      <c r="U22" s="877">
        <f>IFERROR(E22/'2015'!E22,"")</f>
        <v>3.9017649456239728E-2</v>
      </c>
      <c r="V22" s="771" t="str">
        <f>IFERROR(F22/'2015'!F22,"")</f>
        <v/>
      </c>
      <c r="W22" s="771" t="str">
        <f>IFERROR(G22/'2015'!G22,"")</f>
        <v/>
      </c>
      <c r="X22" s="771" t="str">
        <f>IFERROR(H22/'2015'!H22,"")</f>
        <v/>
      </c>
      <c r="Y22" s="771" t="str">
        <f>IFERROR(I22/'2015'!I22,"")</f>
        <v/>
      </c>
      <c r="Z22" s="569" t="str">
        <f>IFERROR(J22/'2015'!J22,"")</f>
        <v/>
      </c>
      <c r="AA22" s="569" t="str">
        <f>IFERROR(K22/'2015'!K22,"")</f>
        <v/>
      </c>
      <c r="AB22" s="569" t="str">
        <f>IFERROR(L22/'2015'!L22,"")</f>
        <v/>
      </c>
      <c r="AC22" s="569" t="str">
        <f>IFERROR(M22/'2015'!M22,"")</f>
        <v/>
      </c>
      <c r="AD22" s="570" t="str">
        <f>IFERROR(N22/'2015'!N22,"")</f>
        <v/>
      </c>
      <c r="AE22" s="570" t="str">
        <f>IFERROR(O22/'2015'!O22,"")</f>
        <v/>
      </c>
    </row>
    <row r="23" spans="1:31" ht="15" customHeight="1" x14ac:dyDescent="0.3">
      <c r="A23" s="526" t="s">
        <v>25</v>
      </c>
      <c r="B23" s="529">
        <f>+'2016'!B23-'2015'!B23</f>
        <v>1393</v>
      </c>
      <c r="C23" s="529">
        <f>+'2016'!C23-'2015'!C23</f>
        <v>65107</v>
      </c>
      <c r="D23" s="529">
        <f>+'2016'!D23-'2015'!D23</f>
        <v>-19329</v>
      </c>
      <c r="E23" s="529">
        <f>+'2016'!E23-'2015'!E23</f>
        <v>47171</v>
      </c>
      <c r="F23" s="539">
        <f>+'2016'!F23-'2015'!F23</f>
        <v>0</v>
      </c>
      <c r="G23" s="539">
        <f>+'2016'!G23-'2015'!G23</f>
        <v>0</v>
      </c>
      <c r="H23" s="539">
        <f>+'2016'!H23-'2015'!H23</f>
        <v>0</v>
      </c>
      <c r="I23" s="539">
        <f>+'2016'!I23-'2015'!I23</f>
        <v>0</v>
      </c>
      <c r="J23" s="548">
        <f>+'2016'!J23-'2015'!J23</f>
        <v>0</v>
      </c>
      <c r="K23" s="548">
        <f>+'2016'!K23-'2015'!K23</f>
        <v>0</v>
      </c>
      <c r="L23" s="548">
        <f>+'2016'!L23-'2015'!L23</f>
        <v>0</v>
      </c>
      <c r="M23" s="548">
        <f>+'2016'!M23-'2015'!M23</f>
        <v>0</v>
      </c>
      <c r="N23" s="557">
        <f>+'2016'!N23-'2015'!N23</f>
        <v>0</v>
      </c>
      <c r="O23" s="557">
        <f>+'2016'!O23-'2015'!O23</f>
        <v>0</v>
      </c>
      <c r="Q23" s="526" t="s">
        <v>25</v>
      </c>
      <c r="R23" s="877">
        <f>IFERROR(B23/'2015'!B23,"")</f>
        <v>6.9053036499462147E-3</v>
      </c>
      <c r="S23" s="877">
        <f>IFERROR(C23/'2015'!C23,"")</f>
        <v>0.19583231818277522</v>
      </c>
      <c r="T23" s="877">
        <f>IFERROR(D23/'2015'!D23,"")</f>
        <v>-6.8498345039726127E-2</v>
      </c>
      <c r="U23" s="877">
        <f>IFERROR(E23/'2015'!E23,"")</f>
        <v>5.7781115028161113E-2</v>
      </c>
      <c r="V23" s="771" t="str">
        <f>IFERROR(F23/'2015'!F23,"")</f>
        <v/>
      </c>
      <c r="W23" s="771" t="str">
        <f>IFERROR(G23/'2015'!G23,"")</f>
        <v/>
      </c>
      <c r="X23" s="771" t="str">
        <f>IFERROR(H23/'2015'!H23,"")</f>
        <v/>
      </c>
      <c r="Y23" s="771" t="str">
        <f>IFERROR(I23/'2015'!I23,"")</f>
        <v/>
      </c>
      <c r="Z23" s="569" t="str">
        <f>IFERROR(J23/'2015'!J23,"")</f>
        <v/>
      </c>
      <c r="AA23" s="569" t="str">
        <f>IFERROR(K23/'2015'!K23,"")</f>
        <v/>
      </c>
      <c r="AB23" s="569" t="str">
        <f>IFERROR(L23/'2015'!L23,"")</f>
        <v/>
      </c>
      <c r="AC23" s="569" t="str">
        <f>IFERROR(M23/'2015'!M23,"")</f>
        <v/>
      </c>
      <c r="AD23" s="570" t="str">
        <f>IFERROR(N23/'2015'!N23,"")</f>
        <v/>
      </c>
      <c r="AE23" s="570" t="str">
        <f>IFERROR(O23/'2015'!O23,"")</f>
        <v/>
      </c>
    </row>
    <row r="24" spans="1:31" ht="15" customHeight="1" x14ac:dyDescent="0.3">
      <c r="A24" s="525" t="s">
        <v>26</v>
      </c>
      <c r="B24" s="529">
        <f>+'2016'!B24-'2015'!B24</f>
        <v>-30308.990955989924</v>
      </c>
      <c r="C24" s="529">
        <f>+'2016'!C24-'2015'!C24</f>
        <v>35104</v>
      </c>
      <c r="D24" s="529">
        <f>+'2016'!D24-'2015'!D24</f>
        <v>-14557</v>
      </c>
      <c r="E24" s="529">
        <f>+'2016'!E24-'2015'!E24</f>
        <v>-9761.9909559898078</v>
      </c>
      <c r="F24" s="539">
        <f>+'2016'!F24-'2015'!F24</f>
        <v>1418</v>
      </c>
      <c r="G24" s="539">
        <f>+'2016'!G24-'2015'!G24</f>
        <v>2787</v>
      </c>
      <c r="H24" s="539">
        <f>+'2016'!H24-'2015'!H24</f>
        <v>2532</v>
      </c>
      <c r="I24" s="539">
        <f>+'2016'!I24-'2015'!I24</f>
        <v>6737</v>
      </c>
      <c r="J24" s="548">
        <f>+'2016'!J24-'2015'!J24</f>
        <v>-28890.990955989924</v>
      </c>
      <c r="K24" s="548">
        <f>+'2016'!K24-'2015'!K24</f>
        <v>37891</v>
      </c>
      <c r="L24" s="548">
        <f>+'2016'!L24-'2015'!L24</f>
        <v>-12025</v>
      </c>
      <c r="M24" s="548">
        <f>+'2016'!M24-'2015'!M24</f>
        <v>-3024.9909559898078</v>
      </c>
      <c r="N24" s="557">
        <f>+'2016'!N24-'2015'!N24</f>
        <v>0</v>
      </c>
      <c r="O24" s="557">
        <f>+'2016'!O24-'2015'!O24</f>
        <v>0</v>
      </c>
      <c r="Q24" s="525" t="s">
        <v>26</v>
      </c>
      <c r="R24" s="877">
        <f>IFERROR(B24/'2015'!B24,"")</f>
        <v>-4.6616810260642669E-2</v>
      </c>
      <c r="S24" s="877">
        <f>IFERROR(C24/'2015'!C24,"")</f>
        <v>4.1714000522850965E-2</v>
      </c>
      <c r="T24" s="877">
        <f>IFERROR(D24/'2015'!D24,"")</f>
        <v>-2.7183026527586373E-2</v>
      </c>
      <c r="U24" s="877">
        <f>IFERROR(E24/'2015'!E24,"")</f>
        <v>-4.8154309990033773E-3</v>
      </c>
      <c r="V24" s="771">
        <f>IFERROR(F24/'2015'!F24,"")</f>
        <v>1.0066875860795979E-2</v>
      </c>
      <c r="W24" s="771">
        <f>IFERROR(G24/'2015'!G24,"")</f>
        <v>1.0035070537148125E-2</v>
      </c>
      <c r="X24" s="771">
        <f>IFERROR(H24/'2015'!H24,"")</f>
        <v>1.0014119433798839E-2</v>
      </c>
      <c r="Y24" s="771">
        <f>IFERROR(I24/'2015'!I24,"")</f>
        <v>1.0033853270720421E-2</v>
      </c>
      <c r="Z24" s="569">
        <f>IFERROR(J24/'2015'!J24,"")</f>
        <v>-3.6523209945382926E-2</v>
      </c>
      <c r="AA24" s="569">
        <f>IFERROR(K24/'2015'!K24,"")</f>
        <v>3.3853436091152593E-2</v>
      </c>
      <c r="AB24" s="569">
        <f>IFERROR(L24/'2015'!L24,"")</f>
        <v>-1.52531644766801E-2</v>
      </c>
      <c r="AC24" s="569">
        <f>IFERROR(M24/'2015'!M24,"")</f>
        <v>-1.1209241653175235E-3</v>
      </c>
      <c r="AD24" s="570" t="str">
        <f>IFERROR(N24/'2015'!N24,"")</f>
        <v/>
      </c>
      <c r="AE24" s="570" t="str">
        <f>IFERROR(O24/'2015'!O24,"")</f>
        <v/>
      </c>
    </row>
    <row r="25" spans="1:31" ht="15" customHeight="1" x14ac:dyDescent="0.3">
      <c r="A25" s="526" t="s">
        <v>27</v>
      </c>
      <c r="B25" s="529">
        <f>+'2016'!B25-'2015'!B25</f>
        <v>-21950.990955989924</v>
      </c>
      <c r="C25" s="529">
        <f>+'2016'!C25-'2015'!C25</f>
        <v>18553</v>
      </c>
      <c r="D25" s="529">
        <f>+'2016'!D25-'2015'!D25</f>
        <v>-5451</v>
      </c>
      <c r="E25" s="529">
        <f>+'2016'!E25-'2015'!E25</f>
        <v>-8848.9909559899243</v>
      </c>
      <c r="F25" s="539">
        <f>+'2016'!F25-'2015'!F25</f>
        <v>0</v>
      </c>
      <c r="G25" s="539">
        <f>+'2016'!G25-'2015'!G25</f>
        <v>0</v>
      </c>
      <c r="H25" s="539">
        <f>+'2016'!H25-'2015'!H25</f>
        <v>0</v>
      </c>
      <c r="I25" s="539">
        <f>+'2016'!I25-'2015'!I25</f>
        <v>0</v>
      </c>
      <c r="J25" s="548">
        <f>+'2016'!J25-'2015'!J25</f>
        <v>0</v>
      </c>
      <c r="K25" s="548">
        <f>+'2016'!K25-'2015'!K25</f>
        <v>0</v>
      </c>
      <c r="L25" s="548">
        <f>+'2016'!L25-'2015'!L25</f>
        <v>0</v>
      </c>
      <c r="M25" s="548">
        <f>+'2016'!M25-'2015'!M25</f>
        <v>0</v>
      </c>
      <c r="N25" s="557">
        <f>+'2016'!N25-'2015'!N25</f>
        <v>0</v>
      </c>
      <c r="O25" s="557">
        <f>+'2016'!O25-'2015'!O25</f>
        <v>0</v>
      </c>
      <c r="Q25" s="526" t="s">
        <v>27</v>
      </c>
      <c r="R25" s="877">
        <f>IFERROR(B25/'2015'!B25,"")</f>
        <v>-7.0912129778906097E-2</v>
      </c>
      <c r="S25" s="877">
        <f>IFERROR(C25/'2015'!C25,"")</f>
        <v>4.7386743562957988E-2</v>
      </c>
      <c r="T25" s="877">
        <f>IFERROR(D25/'2015'!D25,"")</f>
        <v>-2.1364322248133415E-2</v>
      </c>
      <c r="U25" s="877">
        <f>IFERROR(E25/'2015'!E25,"")</f>
        <v>-9.2541371647575175E-3</v>
      </c>
      <c r="V25" s="771" t="str">
        <f>IFERROR(F25/'2015'!F25,"")</f>
        <v/>
      </c>
      <c r="W25" s="771" t="str">
        <f>IFERROR(G25/'2015'!G25,"")</f>
        <v/>
      </c>
      <c r="X25" s="771" t="str">
        <f>IFERROR(H25/'2015'!H25,"")</f>
        <v/>
      </c>
      <c r="Y25" s="771" t="str">
        <f>IFERROR(I25/'2015'!I25,"")</f>
        <v/>
      </c>
      <c r="Z25" s="569" t="str">
        <f>IFERROR(J25/'2015'!J25,"")</f>
        <v/>
      </c>
      <c r="AA25" s="569" t="str">
        <f>IFERROR(K25/'2015'!K25,"")</f>
        <v/>
      </c>
      <c r="AB25" s="569" t="str">
        <f>IFERROR(L25/'2015'!L25,"")</f>
        <v/>
      </c>
      <c r="AC25" s="569" t="str">
        <f>IFERROR(M25/'2015'!M25,"")</f>
        <v/>
      </c>
      <c r="AD25" s="570" t="str">
        <f>IFERROR(N25/'2015'!N25,"")</f>
        <v/>
      </c>
      <c r="AE25" s="570" t="str">
        <f>IFERROR(O25/'2015'!O25,"")</f>
        <v/>
      </c>
    </row>
    <row r="26" spans="1:31" ht="15" customHeight="1" x14ac:dyDescent="0.3">
      <c r="A26" s="526" t="s">
        <v>28</v>
      </c>
      <c r="B26" s="529">
        <f>+'2016'!B26-'2015'!B26</f>
        <v>-8358</v>
      </c>
      <c r="C26" s="529">
        <f>+'2016'!C26-'2015'!C26</f>
        <v>16551</v>
      </c>
      <c r="D26" s="529">
        <f>+'2016'!D26-'2015'!D26</f>
        <v>-9106</v>
      </c>
      <c r="E26" s="529">
        <f>+'2016'!E26-'2015'!E26</f>
        <v>-913</v>
      </c>
      <c r="F26" s="539">
        <f>+'2016'!F26-'2015'!F26</f>
        <v>0</v>
      </c>
      <c r="G26" s="539">
        <f>+'2016'!G26-'2015'!G26</f>
        <v>0</v>
      </c>
      <c r="H26" s="539">
        <f>+'2016'!H26-'2015'!H26</f>
        <v>0</v>
      </c>
      <c r="I26" s="539">
        <f>+'2016'!I26-'2015'!I26</f>
        <v>0</v>
      </c>
      <c r="J26" s="548">
        <f>+'2016'!J26-'2015'!J26</f>
        <v>0</v>
      </c>
      <c r="K26" s="548">
        <f>+'2016'!K26-'2015'!K26</f>
        <v>0</v>
      </c>
      <c r="L26" s="548">
        <f>+'2016'!L26-'2015'!L26</f>
        <v>0</v>
      </c>
      <c r="M26" s="548">
        <f>+'2016'!M26-'2015'!M26</f>
        <v>0</v>
      </c>
      <c r="N26" s="557">
        <f>+'2016'!N26-'2015'!N26</f>
        <v>0</v>
      </c>
      <c r="O26" s="557">
        <f>+'2016'!O26-'2015'!O26</f>
        <v>0</v>
      </c>
      <c r="Q26" s="526" t="s">
        <v>28</v>
      </c>
      <c r="R26" s="877">
        <f>IFERROR(B26/'2015'!B26,"")</f>
        <v>-2.4537535853632043E-2</v>
      </c>
      <c r="S26" s="877">
        <f>IFERROR(C26/'2015'!C26,"")</f>
        <v>3.6778610585822311E-2</v>
      </c>
      <c r="T26" s="877">
        <f>IFERROR(D26/'2015'!D26,"")</f>
        <v>-3.2478163018550291E-2</v>
      </c>
      <c r="U26" s="877">
        <f>IFERROR(E26/'2015'!E26,"")</f>
        <v>-8.524655675805384E-4</v>
      </c>
      <c r="V26" s="771" t="str">
        <f>IFERROR(F26/'2015'!F26,"")</f>
        <v/>
      </c>
      <c r="W26" s="771" t="str">
        <f>IFERROR(G26/'2015'!G26,"")</f>
        <v/>
      </c>
      <c r="X26" s="771" t="str">
        <f>IFERROR(H26/'2015'!H26,"")</f>
        <v/>
      </c>
      <c r="Y26" s="771" t="str">
        <f>IFERROR(I26/'2015'!I26,"")</f>
        <v/>
      </c>
      <c r="Z26" s="569" t="str">
        <f>IFERROR(J26/'2015'!J26,"")</f>
        <v/>
      </c>
      <c r="AA26" s="569" t="str">
        <f>IFERROR(K26/'2015'!K26,"")</f>
        <v/>
      </c>
      <c r="AB26" s="569" t="str">
        <f>IFERROR(L26/'2015'!L26,"")</f>
        <v/>
      </c>
      <c r="AC26" s="569" t="str">
        <f>IFERROR(M26/'2015'!M26,"")</f>
        <v/>
      </c>
      <c r="AD26" s="570" t="str">
        <f>IFERROR(N26/'2015'!N26,"")</f>
        <v/>
      </c>
      <c r="AE26" s="570" t="str">
        <f>IFERROR(O26/'2015'!O26,"")</f>
        <v/>
      </c>
    </row>
    <row r="27" spans="1:31" ht="15" customHeight="1" x14ac:dyDescent="0.3">
      <c r="A27" s="525" t="s">
        <v>29</v>
      </c>
      <c r="B27" s="529">
        <f>+'2016'!B27-'2015'!B27</f>
        <v>-3743.2497981246561</v>
      </c>
      <c r="C27" s="529">
        <f>+'2016'!C27-'2015'!C27</f>
        <v>91313.097128706286</v>
      </c>
      <c r="D27" s="529">
        <f>+'2016'!D27-'2015'!D27</f>
        <v>-47353.902150338981</v>
      </c>
      <c r="E27" s="529">
        <f>+'2016'!E27-'2015'!E27</f>
        <v>40215.945180242881</v>
      </c>
      <c r="F27" s="539">
        <f>+'2016'!F27-'2015'!F27</f>
        <v>1642</v>
      </c>
      <c r="G27" s="539">
        <f>+'2016'!G27-'2015'!G27</f>
        <v>3616</v>
      </c>
      <c r="H27" s="539">
        <f>+'2016'!H27-'2015'!H27</f>
        <v>4526</v>
      </c>
      <c r="I27" s="539">
        <f>+'2016'!I27-'2015'!I27</f>
        <v>9784</v>
      </c>
      <c r="J27" s="548">
        <f>+'2016'!J27-'2015'!J27</f>
        <v>-2101.2497981246561</v>
      </c>
      <c r="K27" s="548">
        <f>+'2016'!K27-'2015'!K27</f>
        <v>94929.097128706286</v>
      </c>
      <c r="L27" s="548">
        <f>+'2016'!L27-'2015'!L27</f>
        <v>-42827.902150338981</v>
      </c>
      <c r="M27" s="548">
        <f>+'2016'!M27-'2015'!M27</f>
        <v>49999.945180242881</v>
      </c>
      <c r="N27" s="557">
        <f>+'2016'!N27-'2015'!N27</f>
        <v>4974.478496348951</v>
      </c>
      <c r="O27" s="557">
        <f>+'2016'!O27-'2015'!O27</f>
        <v>4809.6027504652739</v>
      </c>
      <c r="Q27" s="525" t="s">
        <v>29</v>
      </c>
      <c r="R27" s="877">
        <f>IFERROR(B27/'2015'!B27,"")</f>
        <v>-6.254487519867338E-3</v>
      </c>
      <c r="S27" s="877">
        <f>IFERROR(C27/'2015'!C27,"")</f>
        <v>9.4660294330463399E-2</v>
      </c>
      <c r="T27" s="877">
        <f>IFERROR(D27/'2015'!D27,"")</f>
        <v>-4.9730633450322415E-2</v>
      </c>
      <c r="U27" s="877">
        <f>IFERROR(E27/'2015'!E27,"")</f>
        <v>1.5988286386866855E-2</v>
      </c>
      <c r="V27" s="771">
        <f>IFERROR(F27/'2015'!F27,"")</f>
        <v>1.1325856336823517E-2</v>
      </c>
      <c r="W27" s="771">
        <f>IFERROR(G27/'2015'!G27,"")</f>
        <v>1.1323354418488132E-2</v>
      </c>
      <c r="X27" s="771">
        <f>IFERROR(H27/'2015'!H27,"")</f>
        <v>1.1320830227567196E-2</v>
      </c>
      <c r="Y27" s="771">
        <f>IFERROR(I27/'2015'!I27,"")</f>
        <v>1.1322606328809229E-2</v>
      </c>
      <c r="Z27" s="569">
        <f>IFERROR(J27/'2015'!J27,"")</f>
        <v>-2.8262804749163294E-3</v>
      </c>
      <c r="AA27" s="569">
        <f>IFERROR(K27/'2015'!K27,"")</f>
        <v>7.3933475840565394E-2</v>
      </c>
      <c r="AB27" s="569">
        <f>IFERROR(L27/'2015'!L27,"")</f>
        <v>-3.1677397851454084E-2</v>
      </c>
      <c r="AC27" s="569">
        <f>IFERROR(M27/'2015'!M27,"")</f>
        <v>1.4795290467137744E-2</v>
      </c>
      <c r="AD27" s="570">
        <f>IFERROR(N27/'2015'!N27,"")</f>
        <v>1.1322912701691303E-2</v>
      </c>
      <c r="AE27" s="570">
        <f>IFERROR(O27/'2015'!O27,"")</f>
        <v>1.1322482897418707E-2</v>
      </c>
    </row>
    <row r="28" spans="1:31" ht="15" customHeight="1" x14ac:dyDescent="0.3">
      <c r="A28" s="525" t="s">
        <v>30</v>
      </c>
      <c r="B28" s="529">
        <f>+'2016'!B28-'2015'!B28</f>
        <v>-3743.2497981246561</v>
      </c>
      <c r="C28" s="529">
        <f>+'2016'!C28-'2015'!C28</f>
        <v>91313.097128706286</v>
      </c>
      <c r="D28" s="529">
        <f>+'2016'!D28-'2015'!D28</f>
        <v>-47353.902150338981</v>
      </c>
      <c r="E28" s="529">
        <f>+'2016'!E28-'2015'!E28</f>
        <v>40215.945180242881</v>
      </c>
      <c r="F28" s="539">
        <f>+'2016'!F28-'2015'!F28</f>
        <v>1642</v>
      </c>
      <c r="G28" s="539">
        <f>+'2016'!G28-'2015'!G28</f>
        <v>3616</v>
      </c>
      <c r="H28" s="539">
        <f>+'2016'!H28-'2015'!H28</f>
        <v>4526</v>
      </c>
      <c r="I28" s="539">
        <f>+'2016'!I28-'2015'!I28</f>
        <v>9784</v>
      </c>
      <c r="J28" s="548">
        <f>+'2016'!J28-'2015'!J28</f>
        <v>-2101.2497981246561</v>
      </c>
      <c r="K28" s="548">
        <f>+'2016'!K28-'2015'!K28</f>
        <v>94929.097128706286</v>
      </c>
      <c r="L28" s="548">
        <f>+'2016'!L28-'2015'!L28</f>
        <v>-42827.902150338981</v>
      </c>
      <c r="M28" s="548">
        <f>+'2016'!M28-'2015'!M28</f>
        <v>49999.945180242881</v>
      </c>
      <c r="N28" s="557">
        <f>+'2016'!N28-'2015'!N28</f>
        <v>4974.478496348951</v>
      </c>
      <c r="O28" s="557">
        <f>+'2016'!O28-'2015'!O28</f>
        <v>4809.6027504652739</v>
      </c>
      <c r="Q28" s="525" t="s">
        <v>30</v>
      </c>
      <c r="R28" s="877">
        <f>IFERROR(B28/'2015'!B28,"")</f>
        <v>-6.254487519867338E-3</v>
      </c>
      <c r="S28" s="877">
        <f>IFERROR(C28/'2015'!C28,"")</f>
        <v>9.4660294330463399E-2</v>
      </c>
      <c r="T28" s="877">
        <f>IFERROR(D28/'2015'!D28,"")</f>
        <v>-4.9730633450322415E-2</v>
      </c>
      <c r="U28" s="877">
        <f>IFERROR(E28/'2015'!E28,"")</f>
        <v>1.5988286386866855E-2</v>
      </c>
      <c r="V28" s="771">
        <f>IFERROR(F28/'2015'!F28,"")</f>
        <v>1.1325856336823517E-2</v>
      </c>
      <c r="W28" s="771">
        <f>IFERROR(G28/'2015'!G28,"")</f>
        <v>1.1323354418488132E-2</v>
      </c>
      <c r="X28" s="771">
        <f>IFERROR(H28/'2015'!H28,"")</f>
        <v>1.1320830227567196E-2</v>
      </c>
      <c r="Y28" s="771">
        <f>IFERROR(I28/'2015'!I28,"")</f>
        <v>1.1322606328809229E-2</v>
      </c>
      <c r="Z28" s="569">
        <f>IFERROR(J28/'2015'!J28,"")</f>
        <v>-2.8262804749163294E-3</v>
      </c>
      <c r="AA28" s="569">
        <f>IFERROR(K28/'2015'!K28,"")</f>
        <v>7.3933475840565394E-2</v>
      </c>
      <c r="AB28" s="569">
        <f>IFERROR(L28/'2015'!L28,"")</f>
        <v>-3.1677397851454084E-2</v>
      </c>
      <c r="AC28" s="569">
        <f>IFERROR(M28/'2015'!M28,"")</f>
        <v>1.4795290467137744E-2</v>
      </c>
      <c r="AD28" s="570">
        <f>IFERROR(N28/'2015'!N28,"")</f>
        <v>1.1322912701691303E-2</v>
      </c>
      <c r="AE28" s="570">
        <f>IFERROR(O28/'2015'!O28,"")</f>
        <v>1.1322482897418707E-2</v>
      </c>
    </row>
    <row r="29" spans="1:31" ht="15" customHeight="1" x14ac:dyDescent="0.3">
      <c r="A29" s="527"/>
      <c r="B29" s="529">
        <f>+'2016'!B29-'2015'!B29</f>
        <v>0</v>
      </c>
      <c r="C29" s="529">
        <f>+'2016'!C29-'2015'!C29</f>
        <v>0</v>
      </c>
      <c r="D29" s="529">
        <f>+'2016'!D29-'2015'!D29</f>
        <v>0</v>
      </c>
      <c r="E29" s="529">
        <f>+'2016'!E29-'2015'!E29</f>
        <v>0</v>
      </c>
      <c r="F29" s="539">
        <f>+'2016'!F29-'2015'!F29</f>
        <v>0</v>
      </c>
      <c r="G29" s="539">
        <f>+'2016'!G29-'2015'!G29</f>
        <v>0</v>
      </c>
      <c r="H29" s="539">
        <f>+'2016'!H29-'2015'!H29</f>
        <v>0</v>
      </c>
      <c r="I29" s="539">
        <f>+'2016'!I29-'2015'!I29</f>
        <v>0</v>
      </c>
      <c r="J29" s="548">
        <f>+'2016'!J29-'2015'!J29</f>
        <v>0</v>
      </c>
      <c r="K29" s="548">
        <f>+'2016'!K29-'2015'!K29</f>
        <v>0</v>
      </c>
      <c r="L29" s="548">
        <f>+'2016'!L29-'2015'!L29</f>
        <v>0</v>
      </c>
      <c r="M29" s="548">
        <f>+'2016'!M29-'2015'!M29</f>
        <v>0</v>
      </c>
      <c r="N29" s="557">
        <f>+'2016'!N29-'2015'!N29</f>
        <v>0</v>
      </c>
      <c r="O29" s="557">
        <f>+'2016'!O29-'2015'!O29</f>
        <v>0</v>
      </c>
      <c r="Q29" s="527"/>
      <c r="R29" s="877" t="str">
        <f>IFERROR(B29/'2015'!B29,"")</f>
        <v/>
      </c>
      <c r="S29" s="877" t="str">
        <f>IFERROR(C29/'2015'!C29,"")</f>
        <v/>
      </c>
      <c r="T29" s="877" t="str">
        <f>IFERROR(D29/'2015'!D29,"")</f>
        <v/>
      </c>
      <c r="U29" s="877" t="str">
        <f>IFERROR(E29/'2015'!E29,"")</f>
        <v/>
      </c>
      <c r="V29" s="771" t="str">
        <f>IFERROR(F29/'2015'!F29,"")</f>
        <v/>
      </c>
      <c r="W29" s="771" t="str">
        <f>IFERROR(G29/'2015'!G29,"")</f>
        <v/>
      </c>
      <c r="X29" s="771" t="str">
        <f>IFERROR(H29/'2015'!H29,"")</f>
        <v/>
      </c>
      <c r="Y29" s="771" t="str">
        <f>IFERROR(I29/'2015'!I29,"")</f>
        <v/>
      </c>
      <c r="Z29" s="569" t="str">
        <f>IFERROR(J29/'2015'!J29,"")</f>
        <v/>
      </c>
      <c r="AA29" s="569" t="str">
        <f>IFERROR(K29/'2015'!K29,"")</f>
        <v/>
      </c>
      <c r="AB29" s="569" t="str">
        <f>IFERROR(L29/'2015'!L29,"")</f>
        <v/>
      </c>
      <c r="AC29" s="569" t="str">
        <f>IFERROR(M29/'2015'!M29,"")</f>
        <v/>
      </c>
      <c r="AD29" s="570" t="str">
        <f>IFERROR(N29/'2015'!N29,"")</f>
        <v/>
      </c>
      <c r="AE29" s="570" t="str">
        <f>IFERROR(O29/'2015'!O29,"")</f>
        <v/>
      </c>
    </row>
    <row r="30" spans="1:31" ht="15" customHeight="1" x14ac:dyDescent="0.3">
      <c r="A30" s="525" t="s">
        <v>31</v>
      </c>
      <c r="B30" s="529">
        <f>+'2016'!B30-'2015'!B30</f>
        <v>6162</v>
      </c>
      <c r="C30" s="529">
        <f>+'2016'!C30-'2015'!C30</f>
        <v>142197</v>
      </c>
      <c r="D30" s="529">
        <f>+'2016'!D30-'2015'!D30</f>
        <v>-83121</v>
      </c>
      <c r="E30" s="529">
        <f>+'2016'!E30-'2015'!E30</f>
        <v>65238</v>
      </c>
      <c r="F30" s="539">
        <f>+'2016'!F30-'2015'!F30</f>
        <v>2259</v>
      </c>
      <c r="G30" s="539">
        <f>+'2016'!G30-'2015'!G30</f>
        <v>5191</v>
      </c>
      <c r="H30" s="539">
        <f>+'2016'!H30-'2015'!H30</f>
        <v>5734</v>
      </c>
      <c r="I30" s="539">
        <f>+'2016'!I30-'2015'!I30</f>
        <v>13184</v>
      </c>
      <c r="J30" s="548">
        <f>+'2016'!J30-'2015'!J30</f>
        <v>8421</v>
      </c>
      <c r="K30" s="548">
        <f>+'2016'!K30-'2015'!K30</f>
        <v>147388</v>
      </c>
      <c r="L30" s="548">
        <f>+'2016'!L30-'2015'!L30</f>
        <v>-77387</v>
      </c>
      <c r="M30" s="548">
        <f>+'2016'!M30-'2015'!M30</f>
        <v>78422</v>
      </c>
      <c r="N30" s="557">
        <f>+'2016'!N30-'2015'!N30</f>
        <v>0</v>
      </c>
      <c r="O30" s="557">
        <f>+'2016'!O30-'2015'!O30</f>
        <v>0</v>
      </c>
      <c r="Q30" s="525" t="s">
        <v>31</v>
      </c>
      <c r="R30" s="877">
        <f>IFERROR(B30/'2015'!B30,"")</f>
        <v>6.8384225683481578E-3</v>
      </c>
      <c r="S30" s="877">
        <f>IFERROR(C30/'2015'!C30,"")</f>
        <v>9.7024849666307991E-2</v>
      </c>
      <c r="T30" s="877">
        <f>IFERROR(D30/'2015'!D30,"")</f>
        <v>-6.7093881873569267E-2</v>
      </c>
      <c r="U30" s="877">
        <f>IFERROR(E30/'2015'!E30,"")</f>
        <v>1.8093852394679956E-2</v>
      </c>
      <c r="V30" s="771">
        <f>IFERROR(F30/'2015'!F30,"")</f>
        <v>1.0047859659111128E-2</v>
      </c>
      <c r="W30" s="771">
        <f>IFERROR(G30/'2015'!G30,"")</f>
        <v>1.0325909658733758E-2</v>
      </c>
      <c r="X30" s="771">
        <f>IFERROR(H30/'2015'!H30,"")</f>
        <v>1.0369684496833394E-2</v>
      </c>
      <c r="Y30" s="771">
        <f>IFERROR(I30/'2015'!I30,"")</f>
        <v>1.0295994214750824E-2</v>
      </c>
      <c r="Z30" s="569">
        <f>IFERROR(J30/'2015'!J30,"")</f>
        <v>7.4792900669592302E-3</v>
      </c>
      <c r="AA30" s="569">
        <f>IFERROR(K30/'2015'!K30,"")</f>
        <v>7.4881280137215622E-2</v>
      </c>
      <c r="AB30" s="569">
        <f>IFERROR(L30/'2015'!L30,"")</f>
        <v>-4.3188710561357806E-2</v>
      </c>
      <c r="AC30" s="569">
        <f>IFERROR(M30/'2015'!M30,"")</f>
        <v>1.6050242814619305E-2</v>
      </c>
      <c r="AD30" s="570" t="str">
        <f>IFERROR(N30/'2015'!N30,"")</f>
        <v/>
      </c>
      <c r="AE30" s="570" t="str">
        <f>IFERROR(O30/'2015'!O30,"")</f>
        <v/>
      </c>
    </row>
    <row r="31" spans="1:31" ht="15" customHeight="1" x14ac:dyDescent="0.3">
      <c r="A31" s="525" t="s">
        <v>32</v>
      </c>
      <c r="B31" s="529">
        <f>+'2016'!B31-'2015'!B31</f>
        <v>7365.0090440100757</v>
      </c>
      <c r="C31" s="529">
        <f>+'2016'!C31-'2015'!C31</f>
        <v>110321.34461432323</v>
      </c>
      <c r="D31" s="529">
        <f>+'2016'!D31-'2015'!D31</f>
        <v>-61840.033995141275</v>
      </c>
      <c r="E31" s="529">
        <f>+'2016'!E31-'2015'!E31</f>
        <v>55846.31966319168</v>
      </c>
      <c r="F31" s="539">
        <f>+'2016'!F31-'2015'!F31</f>
        <v>2021</v>
      </c>
      <c r="G31" s="539">
        <f>+'2016'!G31-'2015'!G31</f>
        <v>4330</v>
      </c>
      <c r="H31" s="539">
        <f>+'2016'!H31-'2015'!H31</f>
        <v>4975</v>
      </c>
      <c r="I31" s="539">
        <f>+'2016'!I31-'2015'!I31</f>
        <v>11326</v>
      </c>
      <c r="J31" s="548">
        <f>+'2016'!J31-'2015'!J31</f>
        <v>9386.0090440100757</v>
      </c>
      <c r="K31" s="548">
        <f>+'2016'!K31-'2015'!K31</f>
        <v>114651.34461432323</v>
      </c>
      <c r="L31" s="548">
        <f>+'2016'!L31-'2015'!L31</f>
        <v>-56865.033995141275</v>
      </c>
      <c r="M31" s="548">
        <f>+'2016'!M31-'2015'!M31</f>
        <v>67172.319663191214</v>
      </c>
      <c r="N31" s="557">
        <f>+'2016'!N31-'2015'!N31</f>
        <v>0</v>
      </c>
      <c r="O31" s="557">
        <f>+'2016'!O31-'2015'!O31</f>
        <v>0</v>
      </c>
      <c r="Q31" s="525" t="s">
        <v>32</v>
      </c>
      <c r="R31" s="877">
        <f>IFERROR(B31/'2015'!B31,"")</f>
        <v>9.1648477528381758E-3</v>
      </c>
      <c r="S31" s="877">
        <f>IFERROR(C31/'2015'!C31,"")</f>
        <v>8.167752877982197E-2</v>
      </c>
      <c r="T31" s="877">
        <f>IFERROR(D31/'2015'!D31,"")</f>
        <v>-5.26007163755986E-2</v>
      </c>
      <c r="U31" s="877">
        <f>IFERROR(E31/'2015'!E31,"")</f>
        <v>1.6770873140412788E-2</v>
      </c>
      <c r="V31" s="771">
        <f>IFERROR(F31/'2015'!F31,"")</f>
        <v>9.8904271822804254E-3</v>
      </c>
      <c r="W31" s="771">
        <f>IFERROR(G31/'2015'!G31,"")</f>
        <v>1.0081372743041408E-2</v>
      </c>
      <c r="X31" s="771">
        <f>IFERROR(H31/'2015'!H31,"")</f>
        <v>1.0205421283893281E-2</v>
      </c>
      <c r="Y31" s="771">
        <f>IFERROR(I31/'2015'!I31,"")</f>
        <v>1.010050564954117E-2</v>
      </c>
      <c r="Z31" s="569">
        <f>IFERROR(J31/'2015'!J31,"")</f>
        <v>9.3119419420205404E-3</v>
      </c>
      <c r="AA31" s="569">
        <f>IFERROR(K31/'2015'!K31,"")</f>
        <v>6.440366910075293E-2</v>
      </c>
      <c r="AB31" s="569">
        <f>IFERROR(L31/'2015'!L31,"")</f>
        <v>-3.4191450869200155E-2</v>
      </c>
      <c r="AC31" s="569">
        <f>IFERROR(M31/'2015'!M31,"")</f>
        <v>1.5090532185814255E-2</v>
      </c>
      <c r="AD31" s="570" t="str">
        <f>IFERROR(N31/'2015'!N31,"")</f>
        <v/>
      </c>
      <c r="AE31" s="570" t="str">
        <f>IFERROR(O31/'2015'!O31,"")</f>
        <v/>
      </c>
    </row>
    <row r="32" spans="1:31" ht="15" customHeight="1" x14ac:dyDescent="0.3">
      <c r="A32" s="563" t="s">
        <v>33</v>
      </c>
      <c r="B32" s="529">
        <f>+'2016'!B32-'2015'!B32</f>
        <v>13527.009044010192</v>
      </c>
      <c r="C32" s="529">
        <f>+'2016'!C32-'2015'!C32</f>
        <v>252518.34461432323</v>
      </c>
      <c r="D32" s="529">
        <f>+'2016'!D32-'2015'!D32</f>
        <v>-144961.03399514128</v>
      </c>
      <c r="E32" s="529">
        <f>+'2016'!E32-'2015'!E32</f>
        <v>121084.31966319215</v>
      </c>
      <c r="F32" s="539">
        <f>+'2016'!F32-'2015'!F32</f>
        <v>4280</v>
      </c>
      <c r="G32" s="539">
        <f>+'2016'!G32-'2015'!G32</f>
        <v>9521</v>
      </c>
      <c r="H32" s="539">
        <f>+'2016'!H32-'2015'!H32</f>
        <v>10709</v>
      </c>
      <c r="I32" s="539">
        <f>+'2016'!I32-'2015'!I32</f>
        <v>24510</v>
      </c>
      <c r="J32" s="548">
        <f>+'2016'!J32-'2015'!J32</f>
        <v>17807.009044010192</v>
      </c>
      <c r="K32" s="548">
        <f>+'2016'!K32-'2015'!K32</f>
        <v>262039.34461432323</v>
      </c>
      <c r="L32" s="548">
        <f>+'2016'!L32-'2015'!L32</f>
        <v>-134252.03399514128</v>
      </c>
      <c r="M32" s="548">
        <f>+'2016'!M32-'2015'!M32</f>
        <v>145594.31966319308</v>
      </c>
      <c r="N32" s="557">
        <f>+'2016'!N32-'2015'!N32</f>
        <v>0</v>
      </c>
      <c r="O32" s="557">
        <f>+'2016'!O32-'2015'!O32</f>
        <v>0</v>
      </c>
      <c r="Q32" s="563" t="s">
        <v>33</v>
      </c>
      <c r="R32" s="877">
        <f>IFERROR(B32/'2015'!B32,"")</f>
        <v>7.9351258965070399E-3</v>
      </c>
      <c r="S32" s="877">
        <f>IFERROR(C32/'2015'!C32,"")</f>
        <v>8.9664207404496807E-2</v>
      </c>
      <c r="T32" s="877">
        <f>IFERROR(D32/'2015'!D32,"")</f>
        <v>-6.0037055701273496E-2</v>
      </c>
      <c r="U32" s="877">
        <f>IFERROR(E32/'2015'!E32,"")</f>
        <v>1.7458646409651214E-2</v>
      </c>
      <c r="V32" s="771">
        <f>IFERROR(F32/'2015'!F32,"")</f>
        <v>9.9729007393461223E-3</v>
      </c>
      <c r="W32" s="771">
        <f>IFERROR(G32/'2015'!G32,"")</f>
        <v>1.0213243426183276E-2</v>
      </c>
      <c r="X32" s="771">
        <f>IFERROR(H32/'2015'!H32,"")</f>
        <v>1.0292721184417422E-2</v>
      </c>
      <c r="Y32" s="771">
        <f>IFERROR(I32/'2015'!I32,"")</f>
        <v>1.0204727399297535E-2</v>
      </c>
      <c r="Z32" s="569">
        <f>IFERROR(J32/'2015'!J32,"")</f>
        <v>8.3449636267567927E-3</v>
      </c>
      <c r="AA32" s="569">
        <f>IFERROR(K32/'2015'!K32,"")</f>
        <v>6.990534518489433E-2</v>
      </c>
      <c r="AB32" s="569">
        <f>IFERROR(L32/'2015'!L32,"")</f>
        <v>-3.8857655109644888E-2</v>
      </c>
      <c r="AC32" s="569">
        <f>IFERROR(M32/'2015'!M32,"")</f>
        <v>1.5592729427584677E-2</v>
      </c>
      <c r="AD32" s="570" t="str">
        <f>IFERROR(N32/'2015'!N32,"")</f>
        <v/>
      </c>
      <c r="AE32" s="570" t="str">
        <f>IFERROR(O32/'2015'!O32,"")</f>
        <v/>
      </c>
    </row>
  </sheetData>
  <mergeCells count="6">
    <mergeCell ref="Z1:AC1"/>
    <mergeCell ref="B1:E1"/>
    <mergeCell ref="F1:I1"/>
    <mergeCell ref="J1:M1"/>
    <mergeCell ref="R1:U1"/>
    <mergeCell ref="V1:Y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E34"/>
  <sheetViews>
    <sheetView topLeftCell="C1" workbookViewId="0">
      <selection activeCell="R25" sqref="R25"/>
    </sheetView>
  </sheetViews>
  <sheetFormatPr baseColWidth="10" defaultRowHeight="14.4" x14ac:dyDescent="0.3"/>
  <cols>
    <col min="1" max="1" width="29" customWidth="1"/>
    <col min="2" max="3" width="9.5546875" bestFit="1" customWidth="1"/>
    <col min="4" max="4" width="10.33203125" bestFit="1" customWidth="1"/>
    <col min="5" max="5" width="9.5546875" bestFit="1" customWidth="1"/>
    <col min="6" max="7" width="8.44140625" bestFit="1" customWidth="1"/>
    <col min="8" max="8" width="9.109375" bestFit="1" customWidth="1"/>
    <col min="9" max="11" width="9.5546875" bestFit="1" customWidth="1"/>
    <col min="12" max="12" width="10.33203125" bestFit="1" customWidth="1"/>
    <col min="13" max="13" width="9.5546875" bestFit="1" customWidth="1"/>
    <col min="14" max="15" width="8.44140625" bestFit="1" customWidth="1"/>
    <col min="16" max="16" width="2.88671875" customWidth="1"/>
    <col min="17" max="17" width="28.44140625" customWidth="1"/>
    <col min="18" max="21" width="11.44140625" customWidth="1"/>
  </cols>
  <sheetData>
    <row r="1" spans="1:31" ht="16.5" customHeight="1" x14ac:dyDescent="0.3">
      <c r="A1" s="522"/>
      <c r="B1" s="1132" t="s">
        <v>0</v>
      </c>
      <c r="C1" s="1133"/>
      <c r="D1" s="1133"/>
      <c r="E1" s="1134"/>
      <c r="F1" s="1138" t="s">
        <v>1</v>
      </c>
      <c r="G1" s="1139"/>
      <c r="H1" s="1139"/>
      <c r="I1" s="1140"/>
      <c r="J1" s="1141" t="s">
        <v>2</v>
      </c>
      <c r="K1" s="1142"/>
      <c r="L1" s="1142"/>
      <c r="M1" s="1143"/>
      <c r="N1" s="555" t="s">
        <v>3</v>
      </c>
      <c r="O1" s="517" t="s">
        <v>4</v>
      </c>
      <c r="Q1" s="522"/>
      <c r="R1" s="1132" t="s">
        <v>0</v>
      </c>
      <c r="S1" s="1133"/>
      <c r="T1" s="1133"/>
      <c r="U1" s="1134"/>
      <c r="V1" s="1135" t="s">
        <v>1</v>
      </c>
      <c r="W1" s="1136"/>
      <c r="X1" s="1136"/>
      <c r="Y1" s="1137"/>
      <c r="Z1" s="1129" t="s">
        <v>2</v>
      </c>
      <c r="AA1" s="1130"/>
      <c r="AB1" s="1130"/>
      <c r="AC1" s="1131"/>
      <c r="AD1" s="555" t="s">
        <v>3</v>
      </c>
      <c r="AE1" s="517" t="s">
        <v>4</v>
      </c>
    </row>
    <row r="2" spans="1:31" ht="16.2" thickBot="1" x14ac:dyDescent="0.35">
      <c r="A2" s="523"/>
      <c r="B2" s="528" t="s">
        <v>5</v>
      </c>
      <c r="C2" s="518" t="s">
        <v>6</v>
      </c>
      <c r="D2" s="518" t="s">
        <v>7</v>
      </c>
      <c r="E2" s="534" t="s">
        <v>8</v>
      </c>
      <c r="F2" s="872" t="s">
        <v>5</v>
      </c>
      <c r="G2" s="873" t="s">
        <v>6</v>
      </c>
      <c r="H2" s="873" t="s">
        <v>7</v>
      </c>
      <c r="I2" s="874" t="s">
        <v>8</v>
      </c>
      <c r="J2" s="869" t="s">
        <v>5</v>
      </c>
      <c r="K2" s="870" t="s">
        <v>6</v>
      </c>
      <c r="L2" s="870" t="s">
        <v>7</v>
      </c>
      <c r="M2" s="871" t="s">
        <v>8</v>
      </c>
      <c r="N2" s="556" t="s">
        <v>8</v>
      </c>
      <c r="O2" s="521" t="s">
        <v>8</v>
      </c>
      <c r="Q2" s="523"/>
      <c r="R2" s="528" t="s">
        <v>5</v>
      </c>
      <c r="S2" s="518" t="s">
        <v>6</v>
      </c>
      <c r="T2" s="518" t="s">
        <v>7</v>
      </c>
      <c r="U2" s="534" t="s">
        <v>8</v>
      </c>
      <c r="V2" s="537" t="s">
        <v>5</v>
      </c>
      <c r="W2" s="519" t="s">
        <v>6</v>
      </c>
      <c r="X2" s="519" t="s">
        <v>7</v>
      </c>
      <c r="Y2" s="538" t="s">
        <v>8</v>
      </c>
      <c r="Z2" s="546" t="s">
        <v>5</v>
      </c>
      <c r="AA2" s="520" t="s">
        <v>6</v>
      </c>
      <c r="AB2" s="520" t="s">
        <v>7</v>
      </c>
      <c r="AC2" s="547" t="s">
        <v>8</v>
      </c>
      <c r="AD2" s="556" t="s">
        <v>8</v>
      </c>
      <c r="AE2" s="521" t="s">
        <v>8</v>
      </c>
    </row>
    <row r="3" spans="1:31" ht="15.75" customHeight="1" x14ac:dyDescent="0.3">
      <c r="A3" s="524" t="s">
        <v>132</v>
      </c>
      <c r="B3" s="918" t="e">
        <f>+#REF!-'2016'!B3</f>
        <v>#REF!</v>
      </c>
      <c r="C3" s="918" t="e">
        <f>+#REF!-'2016'!C3</f>
        <v>#REF!</v>
      </c>
      <c r="D3" s="918" t="e">
        <f>+#REF!-'2016'!D3</f>
        <v>#REF!</v>
      </c>
      <c r="E3" s="918" t="e">
        <f>+#REF!-'2016'!E3</f>
        <v>#REF!</v>
      </c>
      <c r="F3" s="919" t="e">
        <f>+#REF!-'2016'!F3</f>
        <v>#REF!</v>
      </c>
      <c r="G3" s="919" t="e">
        <f>+#REF!-'2016'!G3</f>
        <v>#REF!</v>
      </c>
      <c r="H3" s="919" t="e">
        <f>+#REF!-'2016'!H3</f>
        <v>#REF!</v>
      </c>
      <c r="I3" s="919" t="e">
        <f>+#REF!-'2016'!I3</f>
        <v>#REF!</v>
      </c>
      <c r="J3" s="920" t="e">
        <f>+#REF!-'2016'!J3</f>
        <v>#REF!</v>
      </c>
      <c r="K3" s="920" t="e">
        <f>+#REF!-'2016'!K3</f>
        <v>#REF!</v>
      </c>
      <c r="L3" s="920" t="e">
        <f>+#REF!-'2016'!L3</f>
        <v>#REF!</v>
      </c>
      <c r="M3" s="920" t="e">
        <f>+#REF!-'2016'!M3</f>
        <v>#REF!</v>
      </c>
      <c r="N3" s="921" t="e">
        <f>+#REF!-'2016'!N3</f>
        <v>#REF!</v>
      </c>
      <c r="O3" s="921" t="e">
        <f>+#REF!-'2016'!O3</f>
        <v>#REF!</v>
      </c>
      <c r="Q3" s="524" t="s">
        <v>132</v>
      </c>
      <c r="R3" s="877" t="str">
        <f>IFERROR(B3/'2016'!B3,"")</f>
        <v/>
      </c>
      <c r="S3" s="877" t="str">
        <f>IFERROR(C3/'2016'!C3,"")</f>
        <v/>
      </c>
      <c r="T3" s="877" t="str">
        <f>IFERROR(D3/'2016'!D3,"")</f>
        <v/>
      </c>
      <c r="U3" s="877" t="str">
        <f>IFERROR(E3/'2016'!E3,"")</f>
        <v/>
      </c>
      <c r="V3" s="771" t="str">
        <f>IFERROR(F3/'2016'!F3,"")</f>
        <v/>
      </c>
      <c r="W3" s="771" t="str">
        <f>IFERROR(G3/'2016'!G3,"")</f>
        <v/>
      </c>
      <c r="X3" s="771" t="str">
        <f>IFERROR(H3/'2016'!H3,"")</f>
        <v/>
      </c>
      <c r="Y3" s="771" t="str">
        <f>IFERROR(I3/'2016'!I3,"")</f>
        <v/>
      </c>
      <c r="Z3" s="569" t="str">
        <f>IFERROR(J3/'2016'!J3,"")</f>
        <v/>
      </c>
      <c r="AA3" s="569" t="str">
        <f>IFERROR(K3/'2016'!K3,"")</f>
        <v/>
      </c>
      <c r="AB3" s="569" t="str">
        <f>IFERROR(L3/'2016'!L3,"")</f>
        <v/>
      </c>
      <c r="AC3" s="569" t="str">
        <f>IFERROR(M3/'2016'!M3,"")</f>
        <v/>
      </c>
      <c r="AD3" s="570" t="str">
        <f>IFERROR(N3/'2016'!N3,"")</f>
        <v/>
      </c>
      <c r="AE3" s="570" t="str">
        <f>IFERROR(O3/'2016'!O3,"")</f>
        <v/>
      </c>
    </row>
    <row r="4" spans="1:31" ht="15" customHeight="1" x14ac:dyDescent="0.3">
      <c r="A4" s="525" t="s">
        <v>10</v>
      </c>
      <c r="B4" s="918" t="e">
        <f>+#REF!-'2016'!B4</f>
        <v>#REF!</v>
      </c>
      <c r="C4" s="918" t="e">
        <f>+#REF!-'2016'!C4</f>
        <v>#REF!</v>
      </c>
      <c r="D4" s="918" t="e">
        <f>+#REF!-'2016'!D4</f>
        <v>#REF!</v>
      </c>
      <c r="E4" s="918" t="e">
        <f>+#REF!-'2016'!E4</f>
        <v>#REF!</v>
      </c>
      <c r="F4" s="919" t="e">
        <f>+#REF!-'2016'!F4</f>
        <v>#REF!</v>
      </c>
      <c r="G4" s="919" t="e">
        <f>+#REF!-'2016'!G4</f>
        <v>#REF!</v>
      </c>
      <c r="H4" s="919" t="e">
        <f>+#REF!-'2016'!H4</f>
        <v>#REF!</v>
      </c>
      <c r="I4" s="919" t="e">
        <f>+#REF!-'2016'!I4</f>
        <v>#REF!</v>
      </c>
      <c r="J4" s="920" t="e">
        <f>+#REF!-'2016'!J4</f>
        <v>#REF!</v>
      </c>
      <c r="K4" s="920" t="e">
        <f>+#REF!-'2016'!K4</f>
        <v>#REF!</v>
      </c>
      <c r="L4" s="920" t="e">
        <f>+#REF!-'2016'!L4</f>
        <v>#REF!</v>
      </c>
      <c r="M4" s="920" t="e">
        <f>+#REF!-'2016'!M4</f>
        <v>#REF!</v>
      </c>
      <c r="N4" s="921" t="e">
        <f>+#REF!-'2016'!N4</f>
        <v>#REF!</v>
      </c>
      <c r="O4" s="921" t="e">
        <f>+#REF!-'2016'!O4</f>
        <v>#REF!</v>
      </c>
      <c r="Q4" s="525" t="s">
        <v>10</v>
      </c>
      <c r="R4" s="877" t="str">
        <f>IFERROR(B4/'2016'!B4,"")</f>
        <v/>
      </c>
      <c r="S4" s="877" t="str">
        <f>IFERROR(C4/'2016'!C4,"")</f>
        <v/>
      </c>
      <c r="T4" s="877" t="str">
        <f>IFERROR(D4/'2016'!D4,"")</f>
        <v/>
      </c>
      <c r="U4" s="877" t="str">
        <f>IFERROR(E4/'2016'!E4,"")</f>
        <v/>
      </c>
      <c r="V4" s="771" t="str">
        <f>IFERROR(F4/'2016'!F4,"")</f>
        <v/>
      </c>
      <c r="W4" s="771" t="str">
        <f>IFERROR(G4/'2016'!G4,"")</f>
        <v/>
      </c>
      <c r="X4" s="771" t="str">
        <f>IFERROR(H4/'2016'!H4,"")</f>
        <v/>
      </c>
      <c r="Y4" s="771" t="str">
        <f>IFERROR(I4/'2016'!I4,"")</f>
        <v/>
      </c>
      <c r="Z4" s="569" t="str">
        <f>IFERROR(J4/'2016'!J4,"")</f>
        <v/>
      </c>
      <c r="AA4" s="569" t="str">
        <f>IFERROR(K4/'2016'!K4,"")</f>
        <v/>
      </c>
      <c r="AB4" s="569" t="str">
        <f>IFERROR(L4/'2016'!L4,"")</f>
        <v/>
      </c>
      <c r="AC4" s="569" t="str">
        <f>IFERROR(M4/'2016'!M4,"")</f>
        <v/>
      </c>
      <c r="AD4" s="570" t="str">
        <f>IFERROR(N4/'2016'!N4,"")</f>
        <v/>
      </c>
      <c r="AE4" s="570" t="str">
        <f>IFERROR(O4/'2016'!O4,"")</f>
        <v/>
      </c>
    </row>
    <row r="5" spans="1:31" ht="15" customHeight="1" x14ac:dyDescent="0.3">
      <c r="A5" s="525" t="s">
        <v>35</v>
      </c>
      <c r="B5" s="918" t="e">
        <f>+#REF!-'2016'!B5</f>
        <v>#REF!</v>
      </c>
      <c r="C5" s="918" t="e">
        <f>+#REF!-'2016'!C5</f>
        <v>#REF!</v>
      </c>
      <c r="D5" s="918" t="e">
        <f>+#REF!-'2016'!D5</f>
        <v>#REF!</v>
      </c>
      <c r="E5" s="918" t="e">
        <f>+#REF!-'2016'!E5</f>
        <v>#REF!</v>
      </c>
      <c r="F5" s="919" t="e">
        <f>+#REF!-'2016'!F5</f>
        <v>#REF!</v>
      </c>
      <c r="G5" s="919" t="e">
        <f>+#REF!-'2016'!G5</f>
        <v>#REF!</v>
      </c>
      <c r="H5" s="919" t="e">
        <f>+#REF!-'2016'!H5</f>
        <v>#REF!</v>
      </c>
      <c r="I5" s="919" t="e">
        <f>+#REF!-'2016'!I5</f>
        <v>#REF!</v>
      </c>
      <c r="J5" s="920" t="e">
        <f>+#REF!-'2016'!J5</f>
        <v>#REF!</v>
      </c>
      <c r="K5" s="920" t="e">
        <f>+#REF!-'2016'!K5</f>
        <v>#REF!</v>
      </c>
      <c r="L5" s="920" t="e">
        <f>+#REF!-'2016'!L5</f>
        <v>#REF!</v>
      </c>
      <c r="M5" s="920" t="e">
        <f>+#REF!-'2016'!M5</f>
        <v>#REF!</v>
      </c>
      <c r="N5" s="921" t="e">
        <f>+#REF!-'2016'!N5</f>
        <v>#REF!</v>
      </c>
      <c r="O5" s="921" t="e">
        <f>+#REF!-'2016'!O5</f>
        <v>#REF!</v>
      </c>
      <c r="Q5" s="525" t="s">
        <v>35</v>
      </c>
      <c r="R5" s="877" t="str">
        <f>IFERROR(B5/'2016'!B5,"")</f>
        <v/>
      </c>
      <c r="S5" s="877" t="str">
        <f>IFERROR(C5/'2016'!C5,"")</f>
        <v/>
      </c>
      <c r="T5" s="877" t="str">
        <f>IFERROR(D5/'2016'!D5,"")</f>
        <v/>
      </c>
      <c r="U5" s="877" t="str">
        <f>IFERROR(E5/'2016'!E5,"")</f>
        <v/>
      </c>
      <c r="V5" s="771" t="str">
        <f>IFERROR(F5/'2016'!F5,"")</f>
        <v/>
      </c>
      <c r="W5" s="771" t="str">
        <f>IFERROR(G5/'2016'!G5,"")</f>
        <v/>
      </c>
      <c r="X5" s="771" t="str">
        <f>IFERROR(H5/'2016'!H5,"")</f>
        <v/>
      </c>
      <c r="Y5" s="771" t="str">
        <f>IFERROR(I5/'2016'!I5,"")</f>
        <v/>
      </c>
      <c r="Z5" s="569" t="str">
        <f>IFERROR(J5/'2016'!J5,"")</f>
        <v/>
      </c>
      <c r="AA5" s="569" t="str">
        <f>IFERROR(K5/'2016'!K5,"")</f>
        <v/>
      </c>
      <c r="AB5" s="569" t="str">
        <f>IFERROR(L5/'2016'!L5,"")</f>
        <v/>
      </c>
      <c r="AC5" s="569" t="str">
        <f>IFERROR(M5/'2016'!M5,"")</f>
        <v/>
      </c>
      <c r="AD5" s="570" t="str">
        <f>IFERROR(N5/'2016'!N5,"")</f>
        <v/>
      </c>
      <c r="AE5" s="570" t="str">
        <f>IFERROR(O5/'2016'!O5,"")</f>
        <v/>
      </c>
    </row>
    <row r="6" spans="1:31" ht="15" customHeight="1" x14ac:dyDescent="0.3">
      <c r="A6" s="525" t="s">
        <v>148</v>
      </c>
      <c r="B6" s="918" t="e">
        <f>+#REF!-'2016'!B6</f>
        <v>#REF!</v>
      </c>
      <c r="C6" s="918" t="e">
        <f>+#REF!-'2016'!C6</f>
        <v>#REF!</v>
      </c>
      <c r="D6" s="918" t="e">
        <f>+#REF!-'2016'!D6</f>
        <v>#REF!</v>
      </c>
      <c r="E6" s="918" t="e">
        <f>+#REF!-'2016'!E6</f>
        <v>#REF!</v>
      </c>
      <c r="F6" s="919" t="e">
        <f>+#REF!-'2016'!F6</f>
        <v>#REF!</v>
      </c>
      <c r="G6" s="919" t="e">
        <f>+#REF!-'2016'!G6</f>
        <v>#REF!</v>
      </c>
      <c r="H6" s="919" t="e">
        <f>+#REF!-'2016'!H6</f>
        <v>#REF!</v>
      </c>
      <c r="I6" s="919" t="e">
        <f>+#REF!-'2016'!I6</f>
        <v>#REF!</v>
      </c>
      <c r="J6" s="920" t="e">
        <f>+#REF!-'2016'!J6</f>
        <v>#REF!</v>
      </c>
      <c r="K6" s="920" t="e">
        <f>+#REF!-'2016'!K6</f>
        <v>#REF!</v>
      </c>
      <c r="L6" s="920" t="e">
        <f>+#REF!-'2016'!L6</f>
        <v>#REF!</v>
      </c>
      <c r="M6" s="920" t="e">
        <f>+#REF!-'2016'!M6</f>
        <v>#REF!</v>
      </c>
      <c r="N6" s="921" t="e">
        <f>+#REF!-'2016'!N6</f>
        <v>#REF!</v>
      </c>
      <c r="O6" s="921" t="e">
        <f>+#REF!-'2016'!O6</f>
        <v>#REF!</v>
      </c>
      <c r="Q6" s="525" t="s">
        <v>148</v>
      </c>
      <c r="R6" s="877" t="str">
        <f>IFERROR(B6/'2016'!B6,"")</f>
        <v/>
      </c>
      <c r="S6" s="877" t="str">
        <f>IFERROR(C6/'2016'!C6,"")</f>
        <v/>
      </c>
      <c r="T6" s="877" t="str">
        <f>IFERROR(D6/'2016'!D6,"")</f>
        <v/>
      </c>
      <c r="U6" s="877" t="str">
        <f>IFERROR(E6/'2016'!E6,"")</f>
        <v/>
      </c>
      <c r="V6" s="771" t="str">
        <f>IFERROR(F6/'2016'!F6,"")</f>
        <v/>
      </c>
      <c r="W6" s="771" t="str">
        <f>IFERROR(G6/'2016'!G6,"")</f>
        <v/>
      </c>
      <c r="X6" s="771" t="str">
        <f>IFERROR(H6/'2016'!H6,"")</f>
        <v/>
      </c>
      <c r="Y6" s="771" t="str">
        <f>IFERROR(I6/'2016'!I6,"")</f>
        <v/>
      </c>
      <c r="Z6" s="569" t="str">
        <f>IFERROR(J6/'2016'!J6,"")</f>
        <v/>
      </c>
      <c r="AA6" s="569" t="str">
        <f>IFERROR(K6/'2016'!K6,"")</f>
        <v/>
      </c>
      <c r="AB6" s="569" t="str">
        <f>IFERROR(L6/'2016'!L6,"")</f>
        <v/>
      </c>
      <c r="AC6" s="569" t="str">
        <f>IFERROR(M6/'2016'!M6,"")</f>
        <v/>
      </c>
      <c r="AD6" s="570" t="str">
        <f>IFERROR(N6/'2016'!N6,"")</f>
        <v/>
      </c>
      <c r="AE6" s="570" t="str">
        <f>IFERROR(O6/'2016'!O6,"")</f>
        <v/>
      </c>
    </row>
    <row r="7" spans="1:31" ht="15" customHeight="1" x14ac:dyDescent="0.3">
      <c r="A7" s="525" t="s">
        <v>144</v>
      </c>
      <c r="B7" s="922" t="e">
        <f>+#REF!-'2016'!B7</f>
        <v>#REF!</v>
      </c>
      <c r="C7" s="922" t="e">
        <f>+#REF!-'2016'!C7</f>
        <v>#REF!</v>
      </c>
      <c r="D7" s="922" t="e">
        <f>+#REF!-'2016'!D7</f>
        <v>#REF!</v>
      </c>
      <c r="E7" s="922" t="e">
        <f>+#REF!-'2016'!E7</f>
        <v>#REF!</v>
      </c>
      <c r="F7" s="919" t="e">
        <f>+#REF!-'2016'!F7</f>
        <v>#REF!</v>
      </c>
      <c r="G7" s="919" t="e">
        <f>+#REF!-'2016'!G7</f>
        <v>#REF!</v>
      </c>
      <c r="H7" s="919" t="e">
        <f>+#REF!-'2016'!H7</f>
        <v>#REF!</v>
      </c>
      <c r="I7" s="919" t="e">
        <f>+#REF!-'2016'!I7</f>
        <v>#REF!</v>
      </c>
      <c r="J7" s="920" t="e">
        <f>+#REF!-'2016'!J7</f>
        <v>#REF!</v>
      </c>
      <c r="K7" s="920" t="e">
        <f>+#REF!-'2016'!K7</f>
        <v>#REF!</v>
      </c>
      <c r="L7" s="920" t="e">
        <f>+#REF!-'2016'!L7</f>
        <v>#REF!</v>
      </c>
      <c r="M7" s="920" t="e">
        <f>+#REF!-'2016'!M7</f>
        <v>#REF!</v>
      </c>
      <c r="N7" s="921" t="e">
        <f>+#REF!-'2016'!N7</f>
        <v>#REF!</v>
      </c>
      <c r="O7" s="921" t="e">
        <f>+#REF!-'2016'!O7</f>
        <v>#REF!</v>
      </c>
      <c r="P7" s="38"/>
      <c r="Q7" s="525" t="s">
        <v>144</v>
      </c>
      <c r="R7" s="877" t="str">
        <f>IFERROR(B7/'2016'!B7,"")</f>
        <v/>
      </c>
      <c r="S7" s="877" t="str">
        <f>IFERROR(C7/'2016'!C7,"")</f>
        <v/>
      </c>
      <c r="T7" s="877" t="str">
        <f>IFERROR(D7/'2016'!D7,"")</f>
        <v/>
      </c>
      <c r="U7" s="877" t="str">
        <f>IFERROR(E7/'2016'!E7,"")</f>
        <v/>
      </c>
      <c r="V7" s="771" t="str">
        <f>IFERROR(F7/'2016'!F7,"")</f>
        <v/>
      </c>
      <c r="W7" s="771" t="str">
        <f>IFERROR(G7/'2016'!G7,"")</f>
        <v/>
      </c>
      <c r="X7" s="771" t="str">
        <f>IFERROR(H7/'2016'!H7,"")</f>
        <v/>
      </c>
      <c r="Y7" s="771" t="str">
        <f>IFERROR(I7/'2016'!I7,"")</f>
        <v/>
      </c>
      <c r="Z7" s="569" t="str">
        <f>IFERROR(J7/'2016'!J7,"")</f>
        <v/>
      </c>
      <c r="AA7" s="569" t="str">
        <f>IFERROR(K7/'2016'!K7,"")</f>
        <v/>
      </c>
      <c r="AB7" s="569" t="str">
        <f>IFERROR(L7/'2016'!L7,"")</f>
        <v/>
      </c>
      <c r="AC7" s="569" t="str">
        <f>IFERROR(M7/'2016'!M7,"")</f>
        <v/>
      </c>
      <c r="AD7" s="570" t="str">
        <f>IFERROR(N7/'2016'!N7,"")</f>
        <v/>
      </c>
      <c r="AE7" s="570" t="str">
        <f>IFERROR(O7/'2016'!O7,"")</f>
        <v/>
      </c>
    </row>
    <row r="8" spans="1:31" ht="15" customHeight="1" x14ac:dyDescent="0.3">
      <c r="A8" s="525" t="s">
        <v>145</v>
      </c>
      <c r="B8" s="922" t="e">
        <f>+#REF!-'2016'!B8</f>
        <v>#REF!</v>
      </c>
      <c r="C8" s="922" t="e">
        <f>+#REF!-'2016'!C8</f>
        <v>#REF!</v>
      </c>
      <c r="D8" s="922" t="e">
        <f>+#REF!-'2016'!D8</f>
        <v>#REF!</v>
      </c>
      <c r="E8" s="922" t="e">
        <f>+#REF!-'2016'!E8</f>
        <v>#REF!</v>
      </c>
      <c r="F8" s="919" t="e">
        <f>+#REF!-'2016'!F8</f>
        <v>#REF!</v>
      </c>
      <c r="G8" s="919" t="e">
        <f>+#REF!-'2016'!G8</f>
        <v>#REF!</v>
      </c>
      <c r="H8" s="919" t="e">
        <f>+#REF!-'2016'!H8</f>
        <v>#REF!</v>
      </c>
      <c r="I8" s="919" t="e">
        <f>+#REF!-'2016'!I8</f>
        <v>#REF!</v>
      </c>
      <c r="J8" s="920" t="e">
        <f>+#REF!-'2016'!J8</f>
        <v>#REF!</v>
      </c>
      <c r="K8" s="920" t="e">
        <f>+#REF!-'2016'!K8</f>
        <v>#REF!</v>
      </c>
      <c r="L8" s="920" t="e">
        <f>+#REF!-'2016'!L8</f>
        <v>#REF!</v>
      </c>
      <c r="M8" s="920" t="e">
        <f>+#REF!-'2016'!M8</f>
        <v>#REF!</v>
      </c>
      <c r="N8" s="921" t="e">
        <f>+#REF!-'2016'!N8</f>
        <v>#REF!</v>
      </c>
      <c r="O8" s="921" t="e">
        <f>+#REF!-'2016'!O8</f>
        <v>#REF!</v>
      </c>
      <c r="Q8" s="525" t="s">
        <v>145</v>
      </c>
      <c r="R8" s="877" t="str">
        <f>IFERROR(B8/'2016'!B8,"")</f>
        <v/>
      </c>
      <c r="S8" s="877" t="str">
        <f>IFERROR(C8/'2016'!C8,"")</f>
        <v/>
      </c>
      <c r="T8" s="877" t="str">
        <f>IFERROR(D8/'2016'!D8,"")</f>
        <v/>
      </c>
      <c r="U8" s="877" t="str">
        <f>IFERROR(E8/'2016'!E8,"")</f>
        <v/>
      </c>
      <c r="V8" s="771" t="str">
        <f>IFERROR(F8/'2016'!F8,"")</f>
        <v/>
      </c>
      <c r="W8" s="771" t="str">
        <f>IFERROR(G8/'2016'!G8,"")</f>
        <v/>
      </c>
      <c r="X8" s="771" t="str">
        <f>IFERROR(H8/'2016'!H8,"")</f>
        <v/>
      </c>
      <c r="Y8" s="771" t="str">
        <f>IFERROR(I8/'2016'!I8,"")</f>
        <v/>
      </c>
      <c r="Z8" s="569" t="str">
        <f>IFERROR(J8/'2016'!J8,"")</f>
        <v/>
      </c>
      <c r="AA8" s="569" t="str">
        <f>IFERROR(K8/'2016'!K8,"")</f>
        <v/>
      </c>
      <c r="AB8" s="569" t="str">
        <f>IFERROR(L8/'2016'!L8,"")</f>
        <v/>
      </c>
      <c r="AC8" s="569" t="str">
        <f>IFERROR(M8/'2016'!M8,"")</f>
        <v/>
      </c>
      <c r="AD8" s="570" t="str">
        <f>IFERROR(N8/'2016'!N8,"")</f>
        <v/>
      </c>
      <c r="AE8" s="570" t="str">
        <f>IFERROR(O8/'2016'!O8,"")</f>
        <v/>
      </c>
    </row>
    <row r="9" spans="1:31" ht="15" customHeight="1" x14ac:dyDescent="0.3">
      <c r="A9" s="525" t="s">
        <v>34</v>
      </c>
      <c r="B9" s="922" t="e">
        <f>+#REF!-'2016'!B9</f>
        <v>#REF!</v>
      </c>
      <c r="C9" s="922" t="e">
        <f>+#REF!-'2016'!C9</f>
        <v>#REF!</v>
      </c>
      <c r="D9" s="922" t="e">
        <f>+#REF!-'2016'!D9</f>
        <v>#REF!</v>
      </c>
      <c r="E9" s="922" t="e">
        <f>+#REF!-'2016'!E9</f>
        <v>#REF!</v>
      </c>
      <c r="F9" s="919" t="e">
        <f>+#REF!-'2016'!F9</f>
        <v>#REF!</v>
      </c>
      <c r="G9" s="919" t="e">
        <f>+#REF!-'2016'!G9</f>
        <v>#REF!</v>
      </c>
      <c r="H9" s="919" t="e">
        <f>+#REF!-'2016'!H9</f>
        <v>#REF!</v>
      </c>
      <c r="I9" s="919" t="e">
        <f>+#REF!-'2016'!I9</f>
        <v>#REF!</v>
      </c>
      <c r="J9" s="920" t="e">
        <f>+#REF!-'2016'!J9</f>
        <v>#REF!</v>
      </c>
      <c r="K9" s="920" t="e">
        <f>+#REF!-'2016'!K9</f>
        <v>#REF!</v>
      </c>
      <c r="L9" s="920" t="e">
        <f>+#REF!-'2016'!L9</f>
        <v>#REF!</v>
      </c>
      <c r="M9" s="920" t="e">
        <f>+#REF!-'2016'!M9</f>
        <v>#REF!</v>
      </c>
      <c r="N9" s="921" t="e">
        <f>+#REF!-'2016'!N9</f>
        <v>#REF!</v>
      </c>
      <c r="O9" s="921" t="e">
        <f>+#REF!-'2016'!O9</f>
        <v>#REF!</v>
      </c>
      <c r="Q9" s="525" t="s">
        <v>34</v>
      </c>
      <c r="R9" s="926" t="str">
        <f>IFERROR(B9/'2016'!B9,"")</f>
        <v/>
      </c>
      <c r="S9" s="926" t="str">
        <f>IFERROR(C9/'2016'!C9,"")</f>
        <v/>
      </c>
      <c r="T9" s="926" t="str">
        <f>IFERROR(D9/'2016'!D9,"")</f>
        <v/>
      </c>
      <c r="U9" s="926" t="str">
        <f>IFERROR(E9/'2016'!E9,"")</f>
        <v/>
      </c>
      <c r="V9" s="771" t="str">
        <f>IFERROR(F9/'2016'!F9,"")</f>
        <v/>
      </c>
      <c r="W9" s="771" t="str">
        <f>IFERROR(G9/'2016'!G9,"")</f>
        <v/>
      </c>
      <c r="X9" s="771" t="str">
        <f>IFERROR(H9/'2016'!H9,"")</f>
        <v/>
      </c>
      <c r="Y9" s="771" t="str">
        <f>IFERROR(I9/'2016'!I9,"")</f>
        <v/>
      </c>
      <c r="Z9" s="569" t="str">
        <f>IFERROR(J9/'2016'!J9,"")</f>
        <v/>
      </c>
      <c r="AA9" s="569" t="str">
        <f>IFERROR(K9/'2016'!K9,"")</f>
        <v/>
      </c>
      <c r="AB9" s="569" t="str">
        <f>IFERROR(L9/'2016'!L9,"")</f>
        <v/>
      </c>
      <c r="AC9" s="569" t="str">
        <f>IFERROR(M9/'2016'!M9,"")</f>
        <v/>
      </c>
      <c r="AD9" s="570" t="str">
        <f>IFERROR(N9/'2016'!N9,"")</f>
        <v/>
      </c>
      <c r="AE9" s="570" t="str">
        <f>IFERROR(O9/'2016'!O9,"")</f>
        <v/>
      </c>
    </row>
    <row r="10" spans="1:31" ht="15" customHeight="1" x14ac:dyDescent="0.3">
      <c r="A10" s="526" t="s">
        <v>36</v>
      </c>
      <c r="B10" s="922" t="e">
        <f>+#REF!-'2016'!B10</f>
        <v>#REF!</v>
      </c>
      <c r="C10" s="922" t="e">
        <f>+#REF!-'2016'!C10</f>
        <v>#REF!</v>
      </c>
      <c r="D10" s="922" t="e">
        <f>+#REF!-'2016'!D10</f>
        <v>#REF!</v>
      </c>
      <c r="E10" s="922" t="e">
        <f>+#REF!-'2016'!E10</f>
        <v>#REF!</v>
      </c>
      <c r="F10" s="919" t="e">
        <f>+#REF!-'2016'!F10</f>
        <v>#REF!</v>
      </c>
      <c r="G10" s="919" t="e">
        <f>+#REF!-'2016'!G10</f>
        <v>#REF!</v>
      </c>
      <c r="H10" s="919" t="e">
        <f>+#REF!-'2016'!H10</f>
        <v>#REF!</v>
      </c>
      <c r="I10" s="919" t="e">
        <f>+#REF!-'2016'!I10</f>
        <v>#REF!</v>
      </c>
      <c r="J10" s="920" t="e">
        <f>+#REF!-'2016'!J10</f>
        <v>#REF!</v>
      </c>
      <c r="K10" s="920" t="e">
        <f>+#REF!-'2016'!K10</f>
        <v>#REF!</v>
      </c>
      <c r="L10" s="920" t="e">
        <f>+#REF!-'2016'!L10</f>
        <v>#REF!</v>
      </c>
      <c r="M10" s="920" t="e">
        <f>+#REF!-'2016'!M10</f>
        <v>#REF!</v>
      </c>
      <c r="N10" s="921" t="e">
        <f>+#REF!-'2016'!N10</f>
        <v>#REF!</v>
      </c>
      <c r="O10" s="921" t="e">
        <f>+#REF!-'2016'!O10</f>
        <v>#REF!</v>
      </c>
      <c r="Q10" s="526" t="s">
        <v>36</v>
      </c>
      <c r="R10" s="877" t="str">
        <f>IFERROR(B10/'2016'!B10,"")</f>
        <v/>
      </c>
      <c r="S10" s="877" t="str">
        <f>IFERROR(C10/'2016'!C10,"")</f>
        <v/>
      </c>
      <c r="T10" s="877" t="str">
        <f>IFERROR(D10/'2016'!D10,"")</f>
        <v/>
      </c>
      <c r="U10" s="877" t="str">
        <f>IFERROR(E10/'2016'!E10,"")</f>
        <v/>
      </c>
      <c r="V10" s="771" t="str">
        <f>IFERROR(F10/'2016'!F10,"")</f>
        <v/>
      </c>
      <c r="W10" s="771" t="str">
        <f>IFERROR(G10/'2016'!G10,"")</f>
        <v/>
      </c>
      <c r="X10" s="771" t="str">
        <f>IFERROR(H10/'2016'!H10,"")</f>
        <v/>
      </c>
      <c r="Y10" s="771" t="str">
        <f>IFERROR(I10/'2016'!I10,"")</f>
        <v/>
      </c>
      <c r="Z10" s="569" t="str">
        <f>IFERROR(J10/'2016'!J10,"")</f>
        <v/>
      </c>
      <c r="AA10" s="569" t="str">
        <f>IFERROR(K10/'2016'!K10,"")</f>
        <v/>
      </c>
      <c r="AB10" s="569" t="str">
        <f>IFERROR(L10/'2016'!L10,"")</f>
        <v/>
      </c>
      <c r="AC10" s="569" t="str">
        <f>IFERROR(M10/'2016'!M10,"")</f>
        <v/>
      </c>
      <c r="AD10" s="570" t="str">
        <f>IFERROR(N10/'2016'!N10,"")</f>
        <v/>
      </c>
      <c r="AE10" s="570" t="str">
        <f>IFERROR(O10/'2016'!O10,"")</f>
        <v/>
      </c>
    </row>
    <row r="11" spans="1:31" ht="15" customHeight="1" x14ac:dyDescent="0.3">
      <c r="A11" s="526" t="s">
        <v>37</v>
      </c>
      <c r="B11" s="922" t="e">
        <f>+#REF!-'2016'!B11</f>
        <v>#REF!</v>
      </c>
      <c r="C11" s="922" t="e">
        <f>+#REF!-'2016'!C11</f>
        <v>#REF!</v>
      </c>
      <c r="D11" s="922" t="e">
        <f>+#REF!-'2016'!D11</f>
        <v>#REF!</v>
      </c>
      <c r="E11" s="922" t="e">
        <f>+#REF!-'2016'!E11</f>
        <v>#REF!</v>
      </c>
      <c r="F11" s="919" t="e">
        <f>+#REF!-'2016'!F11</f>
        <v>#REF!</v>
      </c>
      <c r="G11" s="919" t="e">
        <f>+#REF!-'2016'!G11</f>
        <v>#REF!</v>
      </c>
      <c r="H11" s="919" t="e">
        <f>+#REF!-'2016'!H11</f>
        <v>#REF!</v>
      </c>
      <c r="I11" s="919" t="e">
        <f>+#REF!-'2016'!I11</f>
        <v>#REF!</v>
      </c>
      <c r="J11" s="920" t="e">
        <f>+#REF!-'2016'!J11</f>
        <v>#REF!</v>
      </c>
      <c r="K11" s="920" t="e">
        <f>+#REF!-'2016'!K11</f>
        <v>#REF!</v>
      </c>
      <c r="L11" s="920" t="e">
        <f>+#REF!-'2016'!L11</f>
        <v>#REF!</v>
      </c>
      <c r="M11" s="920" t="e">
        <f>+#REF!-'2016'!M11</f>
        <v>#REF!</v>
      </c>
      <c r="N11" s="921" t="e">
        <f>+#REF!-'2016'!N11</f>
        <v>#REF!</v>
      </c>
      <c r="O11" s="921" t="e">
        <f>+#REF!-'2016'!O11</f>
        <v>#REF!</v>
      </c>
      <c r="Q11" s="526" t="s">
        <v>37</v>
      </c>
      <c r="R11" s="877" t="str">
        <f>IFERROR(B11/'2016'!B11,"")</f>
        <v/>
      </c>
      <c r="S11" s="877" t="str">
        <f>IFERROR(C11/'2016'!C11,"")</f>
        <v/>
      </c>
      <c r="T11" s="877" t="str">
        <f>IFERROR(D11/'2016'!D11,"")</f>
        <v/>
      </c>
      <c r="U11" s="877" t="str">
        <f>IFERROR(E11/'2016'!E11,"")</f>
        <v/>
      </c>
      <c r="V11" s="771" t="str">
        <f>IFERROR(F11/'2016'!F11,"")</f>
        <v/>
      </c>
      <c r="W11" s="771" t="str">
        <f>IFERROR(G11/'2016'!G11,"")</f>
        <v/>
      </c>
      <c r="X11" s="771" t="str">
        <f>IFERROR(H11/'2016'!H11,"")</f>
        <v/>
      </c>
      <c r="Y11" s="771" t="str">
        <f>IFERROR(I11/'2016'!I11,"")</f>
        <v/>
      </c>
      <c r="Z11" s="569" t="str">
        <f>IFERROR(J11/'2016'!J11,"")</f>
        <v/>
      </c>
      <c r="AA11" s="569" t="str">
        <f>IFERROR(K11/'2016'!K11,"")</f>
        <v/>
      </c>
      <c r="AB11" s="569" t="str">
        <f>IFERROR(L11/'2016'!L11,"")</f>
        <v/>
      </c>
      <c r="AC11" s="569" t="str">
        <f>IFERROR(M11/'2016'!M11,"")</f>
        <v/>
      </c>
      <c r="AD11" s="570" t="str">
        <f>IFERROR(N11/'2016'!N11,"")</f>
        <v/>
      </c>
      <c r="AE11" s="570" t="str">
        <f>IFERROR(O11/'2016'!O11,"")</f>
        <v/>
      </c>
    </row>
    <row r="12" spans="1:31" ht="15" customHeight="1" x14ac:dyDescent="0.3">
      <c r="A12" s="525" t="s">
        <v>14</v>
      </c>
      <c r="B12" s="922" t="e">
        <f>+#REF!-'2016'!B12</f>
        <v>#REF!</v>
      </c>
      <c r="C12" s="922" t="e">
        <f>+#REF!-'2016'!C12</f>
        <v>#REF!</v>
      </c>
      <c r="D12" s="922" t="e">
        <f>+#REF!-'2016'!D12</f>
        <v>#REF!</v>
      </c>
      <c r="E12" s="922" t="e">
        <f>+#REF!-'2016'!E12</f>
        <v>#REF!</v>
      </c>
      <c r="F12" s="919" t="e">
        <f>+#REF!-'2016'!F12</f>
        <v>#REF!</v>
      </c>
      <c r="G12" s="919" t="e">
        <f>+#REF!-'2016'!G12</f>
        <v>#REF!</v>
      </c>
      <c r="H12" s="919" t="e">
        <f>+#REF!-'2016'!H12</f>
        <v>#REF!</v>
      </c>
      <c r="I12" s="919" t="e">
        <f>+#REF!-'2016'!I12</f>
        <v>#REF!</v>
      </c>
      <c r="J12" s="920" t="e">
        <f>+#REF!-'2016'!J12</f>
        <v>#REF!</v>
      </c>
      <c r="K12" s="920" t="e">
        <f>+#REF!-'2016'!K12</f>
        <v>#REF!</v>
      </c>
      <c r="L12" s="920" t="e">
        <f>+#REF!-'2016'!L12</f>
        <v>#REF!</v>
      </c>
      <c r="M12" s="920" t="e">
        <f>+#REF!-'2016'!M12</f>
        <v>#REF!</v>
      </c>
      <c r="N12" s="921" t="e">
        <f>+#REF!-'2016'!N12</f>
        <v>#REF!</v>
      </c>
      <c r="O12" s="921" t="e">
        <f>+#REF!-'2016'!O12</f>
        <v>#REF!</v>
      </c>
      <c r="Q12" s="525" t="s">
        <v>14</v>
      </c>
      <c r="R12" s="926" t="str">
        <f>IFERROR(B12/'2016'!B12,"")</f>
        <v/>
      </c>
      <c r="S12" s="926" t="str">
        <f>IFERROR(C12/'2016'!C12,"")</f>
        <v/>
      </c>
      <c r="T12" s="926" t="str">
        <f>IFERROR(D12/'2016'!D12,"")</f>
        <v/>
      </c>
      <c r="U12" s="926" t="str">
        <f>IFERROR(E12/'2016'!E12,"")</f>
        <v/>
      </c>
      <c r="V12" s="771" t="str">
        <f>IFERROR(F12/'2016'!F12,"")</f>
        <v/>
      </c>
      <c r="W12" s="771" t="str">
        <f>IFERROR(G12/'2016'!G12,"")</f>
        <v/>
      </c>
      <c r="X12" s="771" t="str">
        <f>IFERROR(H12/'2016'!H12,"")</f>
        <v/>
      </c>
      <c r="Y12" s="771" t="str">
        <f>IFERROR(I12/'2016'!I12,"")</f>
        <v/>
      </c>
      <c r="Z12" s="569" t="str">
        <f>IFERROR(J12/'2016'!J12,"")</f>
        <v/>
      </c>
      <c r="AA12" s="569" t="str">
        <f>IFERROR(K12/'2016'!K12,"")</f>
        <v/>
      </c>
      <c r="AB12" s="569" t="str">
        <f>IFERROR(L12/'2016'!L12,"")</f>
        <v/>
      </c>
      <c r="AC12" s="569" t="str">
        <f>IFERROR(M12/'2016'!M12,"")</f>
        <v/>
      </c>
      <c r="AD12" s="570" t="str">
        <f>IFERROR(N12/'2016'!N12,"")</f>
        <v/>
      </c>
      <c r="AE12" s="570" t="str">
        <f>IFERROR(O12/'2016'!O12,"")</f>
        <v/>
      </c>
    </row>
    <row r="13" spans="1:31" ht="15" customHeight="1" x14ac:dyDescent="0.35">
      <c r="A13" s="526" t="s">
        <v>15</v>
      </c>
      <c r="B13" s="922" t="e">
        <f>+#REF!-'2016'!B13</f>
        <v>#REF!</v>
      </c>
      <c r="C13" s="933" t="e">
        <f>+#REF!-'2016'!C13</f>
        <v>#REF!</v>
      </c>
      <c r="D13" s="922" t="e">
        <f>+#REF!-'2016'!D13</f>
        <v>#REF!</v>
      </c>
      <c r="E13" s="922" t="e">
        <f>+#REF!-'2016'!E13</f>
        <v>#REF!</v>
      </c>
      <c r="F13" s="919" t="e">
        <f>+#REF!-'2016'!F13</f>
        <v>#REF!</v>
      </c>
      <c r="G13" s="919" t="e">
        <f>+#REF!-'2016'!G13</f>
        <v>#REF!</v>
      </c>
      <c r="H13" s="919" t="e">
        <f>+#REF!-'2016'!H13</f>
        <v>#REF!</v>
      </c>
      <c r="I13" s="919" t="e">
        <f>+#REF!-'2016'!I13</f>
        <v>#REF!</v>
      </c>
      <c r="J13" s="920" t="e">
        <f>+#REF!-'2016'!J13</f>
        <v>#REF!</v>
      </c>
      <c r="K13" s="920" t="e">
        <f>+#REF!-'2016'!K13</f>
        <v>#REF!</v>
      </c>
      <c r="L13" s="920" t="e">
        <f>+#REF!-'2016'!L13</f>
        <v>#REF!</v>
      </c>
      <c r="M13" s="920" t="e">
        <f>+#REF!-'2016'!M13</f>
        <v>#REF!</v>
      </c>
      <c r="N13" s="921" t="e">
        <f>+#REF!-'2016'!N13</f>
        <v>#REF!</v>
      </c>
      <c r="O13" s="921" t="e">
        <f>+#REF!-'2016'!O13</f>
        <v>#REF!</v>
      </c>
      <c r="Q13" s="526" t="s">
        <v>15</v>
      </c>
      <c r="R13" s="877" t="str">
        <f>IFERROR(B13/'2016'!B13,"")</f>
        <v/>
      </c>
      <c r="S13" s="877" t="str">
        <f>IFERROR(C13/'2016'!C13,"")</f>
        <v/>
      </c>
      <c r="T13" s="877" t="str">
        <f>IFERROR(D13/'2016'!D13,"")</f>
        <v/>
      </c>
      <c r="U13" s="877" t="str">
        <f>IFERROR(E13/'2016'!E13,"")</f>
        <v/>
      </c>
      <c r="V13" s="771" t="str">
        <f>IFERROR(F13/'2016'!F13,"")</f>
        <v/>
      </c>
      <c r="W13" s="771" t="str">
        <f>IFERROR(G13/'2016'!G13,"")</f>
        <v/>
      </c>
      <c r="X13" s="771" t="str">
        <f>IFERROR(H13/'2016'!H13,"")</f>
        <v/>
      </c>
      <c r="Y13" s="771" t="str">
        <f>IFERROR(I13/'2016'!I13,"")</f>
        <v/>
      </c>
      <c r="Z13" s="569" t="str">
        <f>IFERROR(J13/'2016'!J13,"")</f>
        <v/>
      </c>
      <c r="AA13" s="569" t="str">
        <f>IFERROR(K13/'2016'!K13,"")</f>
        <v/>
      </c>
      <c r="AB13" s="569" t="str">
        <f>IFERROR(L13/'2016'!L13,"")</f>
        <v/>
      </c>
      <c r="AC13" s="569" t="str">
        <f>IFERROR(M13/'2016'!M13,"")</f>
        <v/>
      </c>
      <c r="AD13" s="570" t="str">
        <f>IFERROR(N13/'2016'!N13,"")</f>
        <v/>
      </c>
      <c r="AE13" s="570" t="str">
        <f>IFERROR(O13/'2016'!O13,"")</f>
        <v/>
      </c>
    </row>
    <row r="14" spans="1:31" ht="15" customHeight="1" x14ac:dyDescent="0.3">
      <c r="A14" s="526" t="s">
        <v>16</v>
      </c>
      <c r="B14" s="922" t="e">
        <f>+#REF!-'2016'!B14</f>
        <v>#REF!</v>
      </c>
      <c r="C14" s="922" t="e">
        <f>+#REF!-'2016'!C14</f>
        <v>#REF!</v>
      </c>
      <c r="D14" s="922" t="e">
        <f>+#REF!-'2016'!D14</f>
        <v>#REF!</v>
      </c>
      <c r="E14" s="922" t="e">
        <f>+#REF!-'2016'!E14</f>
        <v>#REF!</v>
      </c>
      <c r="F14" s="919" t="e">
        <f>+#REF!-'2016'!F14</f>
        <v>#REF!</v>
      </c>
      <c r="G14" s="919" t="e">
        <f>+#REF!-'2016'!G14</f>
        <v>#REF!</v>
      </c>
      <c r="H14" s="919" t="e">
        <f>+#REF!-'2016'!H14</f>
        <v>#REF!</v>
      </c>
      <c r="I14" s="919" t="e">
        <f>+#REF!-'2016'!I14</f>
        <v>#REF!</v>
      </c>
      <c r="J14" s="920" t="e">
        <f>+#REF!-'2016'!J14</f>
        <v>#REF!</v>
      </c>
      <c r="K14" s="920" t="e">
        <f>+#REF!-'2016'!K14</f>
        <v>#REF!</v>
      </c>
      <c r="L14" s="920" t="e">
        <f>+#REF!-'2016'!L14</f>
        <v>#REF!</v>
      </c>
      <c r="M14" s="920" t="e">
        <f>+#REF!-'2016'!M14</f>
        <v>#REF!</v>
      </c>
      <c r="N14" s="921" t="e">
        <f>+#REF!-'2016'!N14</f>
        <v>#REF!</v>
      </c>
      <c r="O14" s="921" t="e">
        <f>+#REF!-'2016'!O14</f>
        <v>#REF!</v>
      </c>
      <c r="Q14" s="526" t="s">
        <v>16</v>
      </c>
      <c r="R14" s="877" t="str">
        <f>IFERROR(B14/'2016'!B14,"")</f>
        <v/>
      </c>
      <c r="S14" s="877" t="str">
        <f>IFERROR(C14/'2016'!C14,"")</f>
        <v/>
      </c>
      <c r="T14" s="877" t="str">
        <f>IFERROR(D14/'2016'!D14,"")</f>
        <v/>
      </c>
      <c r="U14" s="877" t="str">
        <f>IFERROR(E14/'2016'!E14,"")</f>
        <v/>
      </c>
      <c r="V14" s="771" t="str">
        <f>IFERROR(F14/'2016'!F14,"")</f>
        <v/>
      </c>
      <c r="W14" s="771" t="str">
        <f>IFERROR(G14/'2016'!G14,"")</f>
        <v/>
      </c>
      <c r="X14" s="771" t="str">
        <f>IFERROR(H14/'2016'!H14,"")</f>
        <v/>
      </c>
      <c r="Y14" s="771" t="str">
        <f>IFERROR(I14/'2016'!I14,"")</f>
        <v/>
      </c>
      <c r="Z14" s="569" t="str">
        <f>IFERROR(J14/'2016'!J14,"")</f>
        <v/>
      </c>
      <c r="AA14" s="569" t="str">
        <f>IFERROR(K14/'2016'!K14,"")</f>
        <v/>
      </c>
      <c r="AB14" s="569" t="str">
        <f>IFERROR(L14/'2016'!L14,"")</f>
        <v/>
      </c>
      <c r="AC14" s="569" t="str">
        <f>IFERROR(M14/'2016'!M14,"")</f>
        <v/>
      </c>
      <c r="AD14" s="570" t="str">
        <f>IFERROR(N14/'2016'!N14,"")</f>
        <v/>
      </c>
      <c r="AE14" s="570" t="str">
        <f>IFERROR(O14/'2016'!O14,"")</f>
        <v/>
      </c>
    </row>
    <row r="15" spans="1:31" ht="15" customHeight="1" x14ac:dyDescent="0.3">
      <c r="A15" s="525" t="s">
        <v>17</v>
      </c>
      <c r="B15" s="922" t="e">
        <f>+#REF!-'2016'!B15</f>
        <v>#REF!</v>
      </c>
      <c r="C15" s="922" t="e">
        <f>+#REF!-'2016'!C15</f>
        <v>#REF!</v>
      </c>
      <c r="D15" s="922" t="e">
        <f>+#REF!-'2016'!D15</f>
        <v>#REF!</v>
      </c>
      <c r="E15" s="922" t="e">
        <f>+#REF!-'2016'!E15</f>
        <v>#REF!</v>
      </c>
      <c r="F15" s="919" t="e">
        <f>+#REF!-'2016'!F15</f>
        <v>#REF!</v>
      </c>
      <c r="G15" s="919" t="e">
        <f>+#REF!-'2016'!G15</f>
        <v>#REF!</v>
      </c>
      <c r="H15" s="919" t="e">
        <f>+#REF!-'2016'!H15</f>
        <v>#REF!</v>
      </c>
      <c r="I15" s="919" t="e">
        <f>+#REF!-'2016'!I15</f>
        <v>#REF!</v>
      </c>
      <c r="J15" s="920" t="e">
        <f>+#REF!-'2016'!J15</f>
        <v>#REF!</v>
      </c>
      <c r="K15" s="920" t="e">
        <f>+#REF!-'2016'!K15</f>
        <v>#REF!</v>
      </c>
      <c r="L15" s="920" t="e">
        <f>+#REF!-'2016'!L15</f>
        <v>#REF!</v>
      </c>
      <c r="M15" s="920" t="e">
        <f>+#REF!-'2016'!M15</f>
        <v>#REF!</v>
      </c>
      <c r="N15" s="921" t="e">
        <f>+#REF!-'2016'!N15</f>
        <v>#REF!</v>
      </c>
      <c r="O15" s="921" t="e">
        <f>+#REF!-'2016'!O15</f>
        <v>#REF!</v>
      </c>
      <c r="Q15" s="525" t="s">
        <v>17</v>
      </c>
      <c r="R15" s="926" t="str">
        <f>IFERROR(B15/'2016'!B15,"")</f>
        <v/>
      </c>
      <c r="S15" s="926" t="str">
        <f>IFERROR(C15/'2016'!C15,"")</f>
        <v/>
      </c>
      <c r="T15" s="926" t="str">
        <f>IFERROR(D15/'2016'!D15,"")</f>
        <v/>
      </c>
      <c r="U15" s="926" t="str">
        <f>IFERROR(E15/'2016'!E15,"")</f>
        <v/>
      </c>
      <c r="V15" s="771" t="str">
        <f>IFERROR(F15/'2016'!F15,"")</f>
        <v/>
      </c>
      <c r="W15" s="771" t="str">
        <f>IFERROR(G15/'2016'!G15,"")</f>
        <v/>
      </c>
      <c r="X15" s="771" t="str">
        <f>IFERROR(H15/'2016'!H15,"")</f>
        <v/>
      </c>
      <c r="Y15" s="771" t="str">
        <f>IFERROR(I15/'2016'!I15,"")</f>
        <v/>
      </c>
      <c r="Z15" s="569" t="str">
        <f>IFERROR(J15/'2016'!J15,"")</f>
        <v/>
      </c>
      <c r="AA15" s="569" t="str">
        <f>IFERROR(K15/'2016'!K15,"")</f>
        <v/>
      </c>
      <c r="AB15" s="569" t="str">
        <f>IFERROR(L15/'2016'!L15,"")</f>
        <v/>
      </c>
      <c r="AC15" s="569" t="str">
        <f>IFERROR(M15/'2016'!M15,"")</f>
        <v/>
      </c>
      <c r="AD15" s="570" t="str">
        <f>IFERROR(N15/'2016'!N15,"")</f>
        <v/>
      </c>
      <c r="AE15" s="570" t="str">
        <f>IFERROR(O15/'2016'!O15,"")</f>
        <v/>
      </c>
    </row>
    <row r="16" spans="1:31" ht="15" customHeight="1" x14ac:dyDescent="0.3">
      <c r="A16" s="526" t="s">
        <v>18</v>
      </c>
      <c r="B16" s="922" t="e">
        <f>+#REF!-'2016'!B16</f>
        <v>#REF!</v>
      </c>
      <c r="C16" s="922" t="e">
        <f>+#REF!-'2016'!C16</f>
        <v>#REF!</v>
      </c>
      <c r="D16" s="922" t="e">
        <f>+#REF!-'2016'!D16</f>
        <v>#REF!</v>
      </c>
      <c r="E16" s="922" t="e">
        <f>+#REF!-'2016'!E16</f>
        <v>#REF!</v>
      </c>
      <c r="F16" s="919" t="e">
        <f>+#REF!-'2016'!F16</f>
        <v>#REF!</v>
      </c>
      <c r="G16" s="919" t="e">
        <f>+#REF!-'2016'!G16</f>
        <v>#REF!</v>
      </c>
      <c r="H16" s="919" t="e">
        <f>+#REF!-'2016'!H16</f>
        <v>#REF!</v>
      </c>
      <c r="I16" s="919" t="e">
        <f>+#REF!-'2016'!I16</f>
        <v>#REF!</v>
      </c>
      <c r="J16" s="920" t="e">
        <f>+#REF!-'2016'!J16</f>
        <v>#REF!</v>
      </c>
      <c r="K16" s="920" t="e">
        <f>+#REF!-'2016'!K16</f>
        <v>#REF!</v>
      </c>
      <c r="L16" s="920" t="e">
        <f>+#REF!-'2016'!L16</f>
        <v>#REF!</v>
      </c>
      <c r="M16" s="920" t="e">
        <f>+#REF!-'2016'!M16</f>
        <v>#REF!</v>
      </c>
      <c r="N16" s="921" t="e">
        <f>+#REF!-'2016'!N16</f>
        <v>#REF!</v>
      </c>
      <c r="O16" s="921" t="e">
        <f>+#REF!-'2016'!O16</f>
        <v>#REF!</v>
      </c>
      <c r="Q16" s="526" t="s">
        <v>18</v>
      </c>
      <c r="R16" s="877" t="str">
        <f>IFERROR(B16/'2016'!B16,"")</f>
        <v/>
      </c>
      <c r="S16" s="877" t="str">
        <f>IFERROR(C16/'2016'!C16,"")</f>
        <v/>
      </c>
      <c r="T16" s="877" t="str">
        <f>IFERROR(D16/'2016'!D16,"")</f>
        <v/>
      </c>
      <c r="U16" s="877" t="str">
        <f>IFERROR(E16/'2016'!E16,"")</f>
        <v/>
      </c>
      <c r="V16" s="771" t="str">
        <f>IFERROR(F16/'2016'!F16,"")</f>
        <v/>
      </c>
      <c r="W16" s="771" t="str">
        <f>IFERROR(G16/'2016'!G16,"")</f>
        <v/>
      </c>
      <c r="X16" s="771" t="str">
        <f>IFERROR(H16/'2016'!H16,"")</f>
        <v/>
      </c>
      <c r="Y16" s="771" t="str">
        <f>IFERROR(I16/'2016'!I16,"")</f>
        <v/>
      </c>
      <c r="Z16" s="569" t="str">
        <f>IFERROR(J16/'2016'!J16,"")</f>
        <v/>
      </c>
      <c r="AA16" s="569" t="str">
        <f>IFERROR(K16/'2016'!K16,"")</f>
        <v/>
      </c>
      <c r="AB16" s="569" t="str">
        <f>IFERROR(L16/'2016'!L16,"")</f>
        <v/>
      </c>
      <c r="AC16" s="569" t="str">
        <f>IFERROR(M16/'2016'!M16,"")</f>
        <v/>
      </c>
      <c r="AD16" s="570" t="str">
        <f>IFERROR(N16/'2016'!N16,"")</f>
        <v/>
      </c>
      <c r="AE16" s="570" t="str">
        <f>IFERROR(O16/'2016'!O16,"")</f>
        <v/>
      </c>
    </row>
    <row r="17" spans="1:31" ht="15" customHeight="1" x14ac:dyDescent="0.35">
      <c r="A17" s="526" t="s">
        <v>19</v>
      </c>
      <c r="B17" s="922" t="e">
        <f>+#REF!-'2016'!B17</f>
        <v>#REF!</v>
      </c>
      <c r="C17" s="933" t="e">
        <f>+#REF!-'2016'!C17</f>
        <v>#REF!</v>
      </c>
      <c r="D17" s="922" t="e">
        <f>+#REF!-'2016'!D17</f>
        <v>#REF!</v>
      </c>
      <c r="E17" s="922" t="e">
        <f>+#REF!-'2016'!E17</f>
        <v>#REF!</v>
      </c>
      <c r="F17" s="919" t="e">
        <f>+#REF!-'2016'!F17</f>
        <v>#REF!</v>
      </c>
      <c r="G17" s="919" t="e">
        <f>+#REF!-'2016'!G17</f>
        <v>#REF!</v>
      </c>
      <c r="H17" s="919" t="e">
        <f>+#REF!-'2016'!H17</f>
        <v>#REF!</v>
      </c>
      <c r="I17" s="919" t="e">
        <f>+#REF!-'2016'!I17</f>
        <v>#REF!</v>
      </c>
      <c r="J17" s="920" t="e">
        <f>+#REF!-'2016'!J17</f>
        <v>#REF!</v>
      </c>
      <c r="K17" s="920" t="e">
        <f>+#REF!-'2016'!K17</f>
        <v>#REF!</v>
      </c>
      <c r="L17" s="920" t="e">
        <f>+#REF!-'2016'!L17</f>
        <v>#REF!</v>
      </c>
      <c r="M17" s="920" t="e">
        <f>+#REF!-'2016'!M17</f>
        <v>#REF!</v>
      </c>
      <c r="N17" s="921" t="e">
        <f>+#REF!-'2016'!N17</f>
        <v>#REF!</v>
      </c>
      <c r="O17" s="921" t="e">
        <f>+#REF!-'2016'!O17</f>
        <v>#REF!</v>
      </c>
      <c r="Q17" s="526" t="s">
        <v>19</v>
      </c>
      <c r="R17" s="877" t="str">
        <f>IFERROR(B17/'2016'!B17,"")</f>
        <v/>
      </c>
      <c r="S17" s="877" t="str">
        <f>IFERROR(C17/'2016'!C17,"")</f>
        <v/>
      </c>
      <c r="T17" s="877" t="str">
        <f>IFERROR(D17/'2016'!D17,"")</f>
        <v/>
      </c>
      <c r="U17" s="877" t="str">
        <f>IFERROR(E17/'2016'!E17,"")</f>
        <v/>
      </c>
      <c r="V17" s="771" t="str">
        <f>IFERROR(F17/'2016'!F17,"")</f>
        <v/>
      </c>
      <c r="W17" s="771" t="str">
        <f>IFERROR(G17/'2016'!G17,"")</f>
        <v/>
      </c>
      <c r="X17" s="771" t="str">
        <f>IFERROR(H17/'2016'!H17,"")</f>
        <v/>
      </c>
      <c r="Y17" s="771" t="str">
        <f>IFERROR(I17/'2016'!I17,"")</f>
        <v/>
      </c>
      <c r="Z17" s="569" t="str">
        <f>IFERROR(J17/'2016'!J17,"")</f>
        <v/>
      </c>
      <c r="AA17" s="569" t="str">
        <f>IFERROR(K17/'2016'!K17,"")</f>
        <v/>
      </c>
      <c r="AB17" s="569" t="str">
        <f>IFERROR(L17/'2016'!L17,"")</f>
        <v/>
      </c>
      <c r="AC17" s="569" t="str">
        <f>IFERROR(M17/'2016'!M17,"")</f>
        <v/>
      </c>
      <c r="AD17" s="570" t="str">
        <f>IFERROR(N17/'2016'!N17,"")</f>
        <v/>
      </c>
      <c r="AE17" s="570" t="str">
        <f>IFERROR(O17/'2016'!O17,"")</f>
        <v/>
      </c>
    </row>
    <row r="18" spans="1:31" ht="15" customHeight="1" x14ac:dyDescent="0.3">
      <c r="A18" s="525" t="s">
        <v>20</v>
      </c>
      <c r="B18" s="922" t="e">
        <f>+#REF!-'2016'!B18</f>
        <v>#REF!</v>
      </c>
      <c r="C18" s="922" t="e">
        <f>+#REF!-'2016'!C18</f>
        <v>#REF!</v>
      </c>
      <c r="D18" s="922" t="e">
        <f>+#REF!-'2016'!D18</f>
        <v>#REF!</v>
      </c>
      <c r="E18" s="922" t="e">
        <f>+#REF!-'2016'!E18</f>
        <v>#REF!</v>
      </c>
      <c r="F18" s="919" t="e">
        <f>+#REF!-'2016'!F18</f>
        <v>#REF!</v>
      </c>
      <c r="G18" s="919" t="e">
        <f>+#REF!-'2016'!G18</f>
        <v>#REF!</v>
      </c>
      <c r="H18" s="919" t="e">
        <f>+#REF!-'2016'!H18</f>
        <v>#REF!</v>
      </c>
      <c r="I18" s="919" t="e">
        <f>+#REF!-'2016'!I18</f>
        <v>#REF!</v>
      </c>
      <c r="J18" s="920" t="e">
        <f>+#REF!-'2016'!J18</f>
        <v>#REF!</v>
      </c>
      <c r="K18" s="920" t="e">
        <f>+#REF!-'2016'!K18</f>
        <v>#REF!</v>
      </c>
      <c r="L18" s="920" t="e">
        <f>+#REF!-'2016'!L18</f>
        <v>#REF!</v>
      </c>
      <c r="M18" s="920" t="e">
        <f>+#REF!-'2016'!M18</f>
        <v>#REF!</v>
      </c>
      <c r="N18" s="921" t="e">
        <f>+#REF!-'2016'!N18</f>
        <v>#REF!</v>
      </c>
      <c r="O18" s="921" t="e">
        <f>+#REF!-'2016'!O18</f>
        <v>#REF!</v>
      </c>
      <c r="Q18" s="525" t="s">
        <v>20</v>
      </c>
      <c r="R18" s="926" t="str">
        <f>IFERROR(B18/'2016'!B18,"")</f>
        <v/>
      </c>
      <c r="S18" s="926" t="str">
        <f>IFERROR(C18/'2016'!C18,"")</f>
        <v/>
      </c>
      <c r="T18" s="926" t="str">
        <f>IFERROR(D18/'2016'!D18,"")</f>
        <v/>
      </c>
      <c r="U18" s="926" t="str">
        <f>IFERROR(E18/'2016'!E18,"")</f>
        <v/>
      </c>
      <c r="V18" s="771" t="str">
        <f>IFERROR(F18/'2016'!F18,"")</f>
        <v/>
      </c>
      <c r="W18" s="771" t="str">
        <f>IFERROR(G18/'2016'!G18,"")</f>
        <v/>
      </c>
      <c r="X18" s="771" t="str">
        <f>IFERROR(H18/'2016'!H18,"")</f>
        <v/>
      </c>
      <c r="Y18" s="771" t="str">
        <f>IFERROR(I18/'2016'!I18,"")</f>
        <v/>
      </c>
      <c r="Z18" s="569" t="str">
        <f>IFERROR(J18/'2016'!J18,"")</f>
        <v/>
      </c>
      <c r="AA18" s="569" t="str">
        <f>IFERROR(K18/'2016'!K18,"")</f>
        <v/>
      </c>
      <c r="AB18" s="569" t="str">
        <f>IFERROR(L18/'2016'!L18,"")</f>
        <v/>
      </c>
      <c r="AC18" s="569" t="str">
        <f>IFERROR(M18/'2016'!M18,"")</f>
        <v/>
      </c>
      <c r="AD18" s="570" t="str">
        <f>IFERROR(N18/'2016'!N18,"")</f>
        <v/>
      </c>
      <c r="AE18" s="570" t="str">
        <f>IFERROR(O18/'2016'!O18,"")</f>
        <v/>
      </c>
    </row>
    <row r="19" spans="1:31" ht="15" customHeight="1" x14ac:dyDescent="0.3">
      <c r="A19" s="526" t="s">
        <v>21</v>
      </c>
      <c r="B19" s="922" t="e">
        <f>+#REF!-'2016'!B19</f>
        <v>#REF!</v>
      </c>
      <c r="C19" s="922" t="e">
        <f>+#REF!-'2016'!C19</f>
        <v>#REF!</v>
      </c>
      <c r="D19" s="922" t="e">
        <f>+#REF!-'2016'!D19</f>
        <v>#REF!</v>
      </c>
      <c r="E19" s="922" t="e">
        <f>+#REF!-'2016'!E19</f>
        <v>#REF!</v>
      </c>
      <c r="F19" s="919" t="e">
        <f>+#REF!-'2016'!F19</f>
        <v>#REF!</v>
      </c>
      <c r="G19" s="919" t="e">
        <f>+#REF!-'2016'!G19</f>
        <v>#REF!</v>
      </c>
      <c r="H19" s="919" t="e">
        <f>+#REF!-'2016'!H19</f>
        <v>#REF!</v>
      </c>
      <c r="I19" s="919" t="e">
        <f>+#REF!-'2016'!I19</f>
        <v>#REF!</v>
      </c>
      <c r="J19" s="920" t="e">
        <f>+#REF!-'2016'!J19</f>
        <v>#REF!</v>
      </c>
      <c r="K19" s="920" t="e">
        <f>+#REF!-'2016'!K19</f>
        <v>#REF!</v>
      </c>
      <c r="L19" s="920" t="e">
        <f>+#REF!-'2016'!L19</f>
        <v>#REF!</v>
      </c>
      <c r="M19" s="920" t="e">
        <f>+#REF!-'2016'!M19</f>
        <v>#REF!</v>
      </c>
      <c r="N19" s="921" t="e">
        <f>+#REF!-'2016'!N19</f>
        <v>#REF!</v>
      </c>
      <c r="O19" s="921" t="e">
        <f>+#REF!-'2016'!O19</f>
        <v>#REF!</v>
      </c>
      <c r="Q19" s="526" t="s">
        <v>21</v>
      </c>
      <c r="R19" s="877" t="str">
        <f>IFERROR(B19/'2016'!B19,"")</f>
        <v/>
      </c>
      <c r="S19" s="877" t="str">
        <f>IFERROR(C19/'2016'!C19,"")</f>
        <v/>
      </c>
      <c r="T19" s="877" t="str">
        <f>IFERROR(D19/'2016'!D19,"")</f>
        <v/>
      </c>
      <c r="U19" s="877" t="str">
        <f>IFERROR(E19/'2016'!E19,"")</f>
        <v/>
      </c>
      <c r="V19" s="771" t="str">
        <f>IFERROR(F19/'2016'!F19,"")</f>
        <v/>
      </c>
      <c r="W19" s="771" t="str">
        <f>IFERROR(G19/'2016'!G19,"")</f>
        <v/>
      </c>
      <c r="X19" s="771" t="str">
        <f>IFERROR(H19/'2016'!H19,"")</f>
        <v/>
      </c>
      <c r="Y19" s="771" t="str">
        <f>IFERROR(I19/'2016'!I19,"")</f>
        <v/>
      </c>
      <c r="Z19" s="569" t="str">
        <f>IFERROR(J19/'2016'!J19,"")</f>
        <v/>
      </c>
      <c r="AA19" s="569" t="str">
        <f>IFERROR(K19/'2016'!K19,"")</f>
        <v/>
      </c>
      <c r="AB19" s="569" t="str">
        <f>IFERROR(L19/'2016'!L19,"")</f>
        <v/>
      </c>
      <c r="AC19" s="569" t="str">
        <f>IFERROR(M19/'2016'!M19,"")</f>
        <v/>
      </c>
      <c r="AD19" s="570" t="str">
        <f>IFERROR(N19/'2016'!N19,"")</f>
        <v/>
      </c>
      <c r="AE19" s="570" t="str">
        <f>IFERROR(O19/'2016'!O19,"")</f>
        <v/>
      </c>
    </row>
    <row r="20" spans="1:31" ht="15" customHeight="1" x14ac:dyDescent="0.3">
      <c r="A20" s="526" t="s">
        <v>22</v>
      </c>
      <c r="B20" s="922" t="e">
        <f>+#REF!-'2016'!B20</f>
        <v>#REF!</v>
      </c>
      <c r="C20" s="922" t="e">
        <f>+#REF!-'2016'!C20</f>
        <v>#REF!</v>
      </c>
      <c r="D20" s="922" t="e">
        <f>+#REF!-'2016'!D20</f>
        <v>#REF!</v>
      </c>
      <c r="E20" s="922" t="e">
        <f>+#REF!-'2016'!E20</f>
        <v>#REF!</v>
      </c>
      <c r="F20" s="919" t="e">
        <f>+#REF!-'2016'!F20</f>
        <v>#REF!</v>
      </c>
      <c r="G20" s="919" t="e">
        <f>+#REF!-'2016'!G20</f>
        <v>#REF!</v>
      </c>
      <c r="H20" s="919" t="e">
        <f>+#REF!-'2016'!H20</f>
        <v>#REF!</v>
      </c>
      <c r="I20" s="919" t="e">
        <f>+#REF!-'2016'!I20</f>
        <v>#REF!</v>
      </c>
      <c r="J20" s="920" t="e">
        <f>+#REF!-'2016'!J20</f>
        <v>#REF!</v>
      </c>
      <c r="K20" s="920" t="e">
        <f>+#REF!-'2016'!K20</f>
        <v>#REF!</v>
      </c>
      <c r="L20" s="920" t="e">
        <f>+#REF!-'2016'!L20</f>
        <v>#REF!</v>
      </c>
      <c r="M20" s="920" t="e">
        <f>+#REF!-'2016'!M20</f>
        <v>#REF!</v>
      </c>
      <c r="N20" s="921" t="e">
        <f>+#REF!-'2016'!N20</f>
        <v>#REF!</v>
      </c>
      <c r="O20" s="921" t="e">
        <f>+#REF!-'2016'!O20</f>
        <v>#REF!</v>
      </c>
      <c r="Q20" s="526" t="s">
        <v>22</v>
      </c>
      <c r="R20" s="877" t="str">
        <f>IFERROR(B20/'2016'!B20,"")</f>
        <v/>
      </c>
      <c r="S20" s="934" t="str">
        <f>IFERROR(C20/'2016'!C20,"")</f>
        <v/>
      </c>
      <c r="T20" s="877" t="str">
        <f>IFERROR(D20/'2016'!D20,"")</f>
        <v/>
      </c>
      <c r="U20" s="877" t="str">
        <f>IFERROR(E20/'2016'!E20,"")</f>
        <v/>
      </c>
      <c r="V20" s="771" t="str">
        <f>IFERROR(F20/'2016'!F20,"")</f>
        <v/>
      </c>
      <c r="W20" s="771" t="str">
        <f>IFERROR(G20/'2016'!G20,"")</f>
        <v/>
      </c>
      <c r="X20" s="771" t="str">
        <f>IFERROR(H20/'2016'!H20,"")</f>
        <v/>
      </c>
      <c r="Y20" s="771" t="str">
        <f>IFERROR(I20/'2016'!I20,"")</f>
        <v/>
      </c>
      <c r="Z20" s="569" t="str">
        <f>IFERROR(J20/'2016'!J20,"")</f>
        <v/>
      </c>
      <c r="AA20" s="569" t="str">
        <f>IFERROR(K20/'2016'!K20,"")</f>
        <v/>
      </c>
      <c r="AB20" s="569" t="str">
        <f>IFERROR(L20/'2016'!L20,"")</f>
        <v/>
      </c>
      <c r="AC20" s="569" t="str">
        <f>IFERROR(M20/'2016'!M20,"")</f>
        <v/>
      </c>
      <c r="AD20" s="570" t="str">
        <f>IFERROR(N20/'2016'!N20,"")</f>
        <v/>
      </c>
      <c r="AE20" s="570" t="str">
        <f>IFERROR(O20/'2016'!O20,"")</f>
        <v/>
      </c>
    </row>
    <row r="21" spans="1:31" ht="15" customHeight="1" x14ac:dyDescent="0.3">
      <c r="A21" s="525" t="s">
        <v>23</v>
      </c>
      <c r="B21" s="922" t="e">
        <f>+#REF!-'2016'!B21</f>
        <v>#REF!</v>
      </c>
      <c r="C21" s="922" t="e">
        <f>+#REF!-'2016'!C21</f>
        <v>#REF!</v>
      </c>
      <c r="D21" s="922" t="e">
        <f>+#REF!-'2016'!D21</f>
        <v>#REF!</v>
      </c>
      <c r="E21" s="922" t="e">
        <f>+#REF!-'2016'!E21</f>
        <v>#REF!</v>
      </c>
      <c r="F21" s="919" t="e">
        <f>+#REF!-'2016'!F21</f>
        <v>#REF!</v>
      </c>
      <c r="G21" s="919" t="e">
        <f>+#REF!-'2016'!G21</f>
        <v>#REF!</v>
      </c>
      <c r="H21" s="919" t="e">
        <f>+#REF!-'2016'!H21</f>
        <v>#REF!</v>
      </c>
      <c r="I21" s="919" t="e">
        <f>+#REF!-'2016'!I21</f>
        <v>#REF!</v>
      </c>
      <c r="J21" s="920" t="e">
        <f>+#REF!-'2016'!J21</f>
        <v>#REF!</v>
      </c>
      <c r="K21" s="920" t="e">
        <f>+#REF!-'2016'!K21</f>
        <v>#REF!</v>
      </c>
      <c r="L21" s="920" t="e">
        <f>+#REF!-'2016'!L21</f>
        <v>#REF!</v>
      </c>
      <c r="M21" s="920" t="e">
        <f>+#REF!-'2016'!M21</f>
        <v>#REF!</v>
      </c>
      <c r="N21" s="921" t="e">
        <f>+#REF!-'2016'!N21</f>
        <v>#REF!</v>
      </c>
      <c r="O21" s="921" t="e">
        <f>+#REF!-'2016'!O21</f>
        <v>#REF!</v>
      </c>
      <c r="Q21" s="525" t="s">
        <v>23</v>
      </c>
      <c r="R21" s="926" t="str">
        <f>IFERROR(B21/'2016'!B21,"")</f>
        <v/>
      </c>
      <c r="S21" s="926" t="str">
        <f>IFERROR(C21/'2016'!C21,"")</f>
        <v/>
      </c>
      <c r="T21" s="926" t="str">
        <f>IFERROR(D21/'2016'!D21,"")</f>
        <v/>
      </c>
      <c r="U21" s="926" t="str">
        <f>IFERROR(E21/'2016'!E21,"")</f>
        <v/>
      </c>
      <c r="V21" s="771" t="str">
        <f>IFERROR(F21/'2016'!F21,"")</f>
        <v/>
      </c>
      <c r="W21" s="771" t="str">
        <f>IFERROR(G21/'2016'!G21,"")</f>
        <v/>
      </c>
      <c r="X21" s="771" t="str">
        <f>IFERROR(H21/'2016'!H21,"")</f>
        <v/>
      </c>
      <c r="Y21" s="771" t="str">
        <f>IFERROR(I21/'2016'!I21,"")</f>
        <v/>
      </c>
      <c r="Z21" s="569" t="str">
        <f>IFERROR(J21/'2016'!J21,"")</f>
        <v/>
      </c>
      <c r="AA21" s="569" t="str">
        <f>IFERROR(K21/'2016'!K21,"")</f>
        <v/>
      </c>
      <c r="AB21" s="569" t="str">
        <f>IFERROR(L21/'2016'!L21,"")</f>
        <v/>
      </c>
      <c r="AC21" s="569" t="str">
        <f>IFERROR(M21/'2016'!M21,"")</f>
        <v/>
      </c>
      <c r="AD21" s="570" t="str">
        <f>IFERROR(N21/'2016'!N21,"")</f>
        <v/>
      </c>
      <c r="AE21" s="570" t="str">
        <f>IFERROR(O21/'2016'!O21,"")</f>
        <v/>
      </c>
    </row>
    <row r="22" spans="1:31" ht="15" customHeight="1" x14ac:dyDescent="0.3">
      <c r="A22" s="526" t="s">
        <v>24</v>
      </c>
      <c r="B22" s="922" t="e">
        <f>+#REF!-'2016'!B22</f>
        <v>#REF!</v>
      </c>
      <c r="C22" s="922" t="e">
        <f>+#REF!-'2016'!C22</f>
        <v>#REF!</v>
      </c>
      <c r="D22" s="922" t="e">
        <f>+#REF!-'2016'!D22</f>
        <v>#REF!</v>
      </c>
      <c r="E22" s="922" t="e">
        <f>+#REF!-'2016'!E22</f>
        <v>#REF!</v>
      </c>
      <c r="F22" s="919" t="e">
        <f>+#REF!-'2016'!F22</f>
        <v>#REF!</v>
      </c>
      <c r="G22" s="919" t="e">
        <f>+#REF!-'2016'!G22</f>
        <v>#REF!</v>
      </c>
      <c r="H22" s="919" t="e">
        <f>+#REF!-'2016'!H22</f>
        <v>#REF!</v>
      </c>
      <c r="I22" s="919" t="e">
        <f>+#REF!-'2016'!I22</f>
        <v>#REF!</v>
      </c>
      <c r="J22" s="920" t="e">
        <f>+#REF!-'2016'!J22</f>
        <v>#REF!</v>
      </c>
      <c r="K22" s="920" t="e">
        <f>+#REF!-'2016'!K22</f>
        <v>#REF!</v>
      </c>
      <c r="L22" s="920" t="e">
        <f>+#REF!-'2016'!L22</f>
        <v>#REF!</v>
      </c>
      <c r="M22" s="920" t="e">
        <f>+#REF!-'2016'!M22</f>
        <v>#REF!</v>
      </c>
      <c r="N22" s="921" t="e">
        <f>+#REF!-'2016'!N22</f>
        <v>#REF!</v>
      </c>
      <c r="O22" s="921" t="e">
        <f>+#REF!-'2016'!O22</f>
        <v>#REF!</v>
      </c>
      <c r="Q22" s="526" t="s">
        <v>24</v>
      </c>
      <c r="R22" s="877" t="str">
        <f>IFERROR(B22/'2016'!B22,"")</f>
        <v/>
      </c>
      <c r="S22" s="934" t="str">
        <f>IFERROR(C22/'2016'!C22,"")</f>
        <v/>
      </c>
      <c r="T22" s="877" t="str">
        <f>IFERROR(D22/'2016'!D22,"")</f>
        <v/>
      </c>
      <c r="U22" s="877" t="str">
        <f>IFERROR(E22/'2016'!E22,"")</f>
        <v/>
      </c>
      <c r="V22" s="771" t="str">
        <f>IFERROR(F22/'2016'!F22,"")</f>
        <v/>
      </c>
      <c r="W22" s="771" t="str">
        <f>IFERROR(G22/'2016'!G22,"")</f>
        <v/>
      </c>
      <c r="X22" s="771" t="str">
        <f>IFERROR(H22/'2016'!H22,"")</f>
        <v/>
      </c>
      <c r="Y22" s="771" t="str">
        <f>IFERROR(I22/'2016'!I22,"")</f>
        <v/>
      </c>
      <c r="Z22" s="569" t="str">
        <f>IFERROR(J22/'2016'!J22,"")</f>
        <v/>
      </c>
      <c r="AA22" s="569" t="str">
        <f>IFERROR(K22/'2016'!K22,"")</f>
        <v/>
      </c>
      <c r="AB22" s="569" t="str">
        <f>IFERROR(L22/'2016'!L22,"")</f>
        <v/>
      </c>
      <c r="AC22" s="569" t="str">
        <f>IFERROR(M22/'2016'!M22,"")</f>
        <v/>
      </c>
      <c r="AD22" s="570" t="str">
        <f>IFERROR(N22/'2016'!N22,"")</f>
        <v/>
      </c>
      <c r="AE22" s="570" t="str">
        <f>IFERROR(O22/'2016'!O22,"")</f>
        <v/>
      </c>
    </row>
    <row r="23" spans="1:31" ht="15" customHeight="1" x14ac:dyDescent="0.35">
      <c r="A23" s="526" t="s">
        <v>25</v>
      </c>
      <c r="B23" s="922" t="e">
        <f>+#REF!-'2016'!B23</f>
        <v>#REF!</v>
      </c>
      <c r="C23" s="933" t="e">
        <f>+#REF!-'2016'!C23</f>
        <v>#REF!</v>
      </c>
      <c r="D23" s="922" t="e">
        <f>+#REF!-'2016'!D23</f>
        <v>#REF!</v>
      </c>
      <c r="E23" s="922" t="e">
        <f>+#REF!-'2016'!E23</f>
        <v>#REF!</v>
      </c>
      <c r="F23" s="919" t="e">
        <f>+#REF!-'2016'!F23</f>
        <v>#REF!</v>
      </c>
      <c r="G23" s="919" t="e">
        <f>+#REF!-'2016'!G23</f>
        <v>#REF!</v>
      </c>
      <c r="H23" s="919" t="e">
        <f>+#REF!-'2016'!H23</f>
        <v>#REF!</v>
      </c>
      <c r="I23" s="919" t="e">
        <f>+#REF!-'2016'!I23</f>
        <v>#REF!</v>
      </c>
      <c r="J23" s="920" t="e">
        <f>+#REF!-'2016'!J23</f>
        <v>#REF!</v>
      </c>
      <c r="K23" s="920" t="e">
        <f>+#REF!-'2016'!K23</f>
        <v>#REF!</v>
      </c>
      <c r="L23" s="920" t="e">
        <f>+#REF!-'2016'!L23</f>
        <v>#REF!</v>
      </c>
      <c r="M23" s="920" t="e">
        <f>+#REF!-'2016'!M23</f>
        <v>#REF!</v>
      </c>
      <c r="N23" s="921" t="e">
        <f>+#REF!-'2016'!N23</f>
        <v>#REF!</v>
      </c>
      <c r="O23" s="921" t="e">
        <f>+#REF!-'2016'!O23</f>
        <v>#REF!</v>
      </c>
      <c r="Q23" s="526" t="s">
        <v>25</v>
      </c>
      <c r="R23" s="877" t="str">
        <f>IFERROR(B23/'2016'!B23,"")</f>
        <v/>
      </c>
      <c r="S23" s="877" t="str">
        <f>IFERROR(C23/'2016'!C23,"")</f>
        <v/>
      </c>
      <c r="T23" s="877" t="str">
        <f>IFERROR(D23/'2016'!D23,"")</f>
        <v/>
      </c>
      <c r="U23" s="877" t="str">
        <f>IFERROR(E23/'2016'!E23,"")</f>
        <v/>
      </c>
      <c r="V23" s="771" t="str">
        <f>IFERROR(F23/'2016'!F23,"")</f>
        <v/>
      </c>
      <c r="W23" s="771" t="str">
        <f>IFERROR(G23/'2016'!G23,"")</f>
        <v/>
      </c>
      <c r="X23" s="771" t="str">
        <f>IFERROR(H23/'2016'!H23,"")</f>
        <v/>
      </c>
      <c r="Y23" s="771" t="str">
        <f>IFERROR(I23/'2016'!I23,"")</f>
        <v/>
      </c>
      <c r="Z23" s="569" t="str">
        <f>IFERROR(J23/'2016'!J23,"")</f>
        <v/>
      </c>
      <c r="AA23" s="569" t="str">
        <f>IFERROR(K23/'2016'!K23,"")</f>
        <v/>
      </c>
      <c r="AB23" s="569" t="str">
        <f>IFERROR(L23/'2016'!L23,"")</f>
        <v/>
      </c>
      <c r="AC23" s="569" t="str">
        <f>IFERROR(M23/'2016'!M23,"")</f>
        <v/>
      </c>
      <c r="AD23" s="570" t="str">
        <f>IFERROR(N23/'2016'!N23,"")</f>
        <v/>
      </c>
      <c r="AE23" s="570" t="str">
        <f>IFERROR(O23/'2016'!O23,"")</f>
        <v/>
      </c>
    </row>
    <row r="24" spans="1:31" ht="15" customHeight="1" x14ac:dyDescent="0.3">
      <c r="A24" s="525" t="s">
        <v>26</v>
      </c>
      <c r="B24" s="922" t="e">
        <f>+#REF!-'2016'!B24</f>
        <v>#REF!</v>
      </c>
      <c r="C24" s="922" t="e">
        <f>+#REF!-'2016'!C24</f>
        <v>#REF!</v>
      </c>
      <c r="D24" s="922" t="e">
        <f>+#REF!-'2016'!D24</f>
        <v>#REF!</v>
      </c>
      <c r="E24" s="922" t="e">
        <f>+#REF!-'2016'!E24</f>
        <v>#REF!</v>
      </c>
      <c r="F24" s="919" t="e">
        <f>+#REF!-'2016'!F24</f>
        <v>#REF!</v>
      </c>
      <c r="G24" s="919" t="e">
        <f>+#REF!-'2016'!G24</f>
        <v>#REF!</v>
      </c>
      <c r="H24" s="919" t="e">
        <f>+#REF!-'2016'!H24</f>
        <v>#REF!</v>
      </c>
      <c r="I24" s="919" t="e">
        <f>+#REF!-'2016'!I24</f>
        <v>#REF!</v>
      </c>
      <c r="J24" s="920" t="e">
        <f>+#REF!-'2016'!J24</f>
        <v>#REF!</v>
      </c>
      <c r="K24" s="920" t="e">
        <f>+#REF!-'2016'!K24</f>
        <v>#REF!</v>
      </c>
      <c r="L24" s="920" t="e">
        <f>+#REF!-'2016'!L24</f>
        <v>#REF!</v>
      </c>
      <c r="M24" s="920" t="e">
        <f>+#REF!-'2016'!M24</f>
        <v>#REF!</v>
      </c>
      <c r="N24" s="921" t="e">
        <f>+#REF!-'2016'!N24</f>
        <v>#REF!</v>
      </c>
      <c r="O24" s="921" t="e">
        <f>+#REF!-'2016'!O24</f>
        <v>#REF!</v>
      </c>
      <c r="Q24" s="525" t="s">
        <v>26</v>
      </c>
      <c r="R24" s="926" t="str">
        <f>IFERROR(B24/'2016'!B24,"")</f>
        <v/>
      </c>
      <c r="S24" s="926" t="str">
        <f>IFERROR(C24/'2016'!C24,"")</f>
        <v/>
      </c>
      <c r="T24" s="926" t="str">
        <f>IFERROR(D24/'2016'!D24,"")</f>
        <v/>
      </c>
      <c r="U24" s="926" t="str">
        <f>IFERROR(E24/'2016'!E24,"")</f>
        <v/>
      </c>
      <c r="V24" s="771" t="str">
        <f>IFERROR(F24/'2016'!F24,"")</f>
        <v/>
      </c>
      <c r="W24" s="771" t="str">
        <f>IFERROR(G24/'2016'!G24,"")</f>
        <v/>
      </c>
      <c r="X24" s="771" t="str">
        <f>IFERROR(H24/'2016'!H24,"")</f>
        <v/>
      </c>
      <c r="Y24" s="771" t="str">
        <f>IFERROR(I24/'2016'!I24,"")</f>
        <v/>
      </c>
      <c r="Z24" s="569" t="str">
        <f>IFERROR(J24/'2016'!J24,"")</f>
        <v/>
      </c>
      <c r="AA24" s="569" t="str">
        <f>IFERROR(K24/'2016'!K24,"")</f>
        <v/>
      </c>
      <c r="AB24" s="569" t="str">
        <f>IFERROR(L24/'2016'!L24,"")</f>
        <v/>
      </c>
      <c r="AC24" s="569" t="str">
        <f>IFERROR(M24/'2016'!M24,"")</f>
        <v/>
      </c>
      <c r="AD24" s="570" t="str">
        <f>IFERROR(N24/'2016'!N24,"")</f>
        <v/>
      </c>
      <c r="AE24" s="570" t="str">
        <f>IFERROR(O24/'2016'!O24,"")</f>
        <v/>
      </c>
    </row>
    <row r="25" spans="1:31" ht="15" customHeight="1" x14ac:dyDescent="0.3">
      <c r="A25" s="526" t="s">
        <v>27</v>
      </c>
      <c r="B25" s="922" t="e">
        <f>+#REF!-'2016'!B25</f>
        <v>#REF!</v>
      </c>
      <c r="C25" s="922" t="e">
        <f>+#REF!-'2016'!C25</f>
        <v>#REF!</v>
      </c>
      <c r="D25" s="922" t="e">
        <f>+#REF!-'2016'!D25</f>
        <v>#REF!</v>
      </c>
      <c r="E25" s="922" t="e">
        <f>+#REF!-'2016'!E25</f>
        <v>#REF!</v>
      </c>
      <c r="F25" s="919" t="e">
        <f>+#REF!-'2016'!F25</f>
        <v>#REF!</v>
      </c>
      <c r="G25" s="919" t="e">
        <f>+#REF!-'2016'!G25</f>
        <v>#REF!</v>
      </c>
      <c r="H25" s="919" t="e">
        <f>+#REF!-'2016'!H25</f>
        <v>#REF!</v>
      </c>
      <c r="I25" s="919" t="e">
        <f>+#REF!-'2016'!I25</f>
        <v>#REF!</v>
      </c>
      <c r="J25" s="920" t="e">
        <f>+#REF!-'2016'!J25</f>
        <v>#REF!</v>
      </c>
      <c r="K25" s="920" t="e">
        <f>+#REF!-'2016'!K25</f>
        <v>#REF!</v>
      </c>
      <c r="L25" s="920" t="e">
        <f>+#REF!-'2016'!L25</f>
        <v>#REF!</v>
      </c>
      <c r="M25" s="920" t="e">
        <f>+#REF!-'2016'!M25</f>
        <v>#REF!</v>
      </c>
      <c r="N25" s="921" t="e">
        <f>+#REF!-'2016'!N25</f>
        <v>#REF!</v>
      </c>
      <c r="O25" s="921" t="e">
        <f>+#REF!-'2016'!O25</f>
        <v>#REF!</v>
      </c>
      <c r="Q25" s="526" t="s">
        <v>27</v>
      </c>
      <c r="R25" s="877" t="str">
        <f>IFERROR(B25/'2016'!B25,"")</f>
        <v/>
      </c>
      <c r="S25" s="877" t="str">
        <f>IFERROR(C25/'2016'!C25,"")</f>
        <v/>
      </c>
      <c r="T25" s="877" t="str">
        <f>IFERROR(D25/'2016'!D25,"")</f>
        <v/>
      </c>
      <c r="U25" s="877" t="str">
        <f>IFERROR(E25/'2016'!E25,"")</f>
        <v/>
      </c>
      <c r="V25" s="771" t="str">
        <f>IFERROR(F25/'2016'!F25,"")</f>
        <v/>
      </c>
      <c r="W25" s="771" t="str">
        <f>IFERROR(G25/'2016'!G25,"")</f>
        <v/>
      </c>
      <c r="X25" s="771" t="str">
        <f>IFERROR(H25/'2016'!H25,"")</f>
        <v/>
      </c>
      <c r="Y25" s="771" t="str">
        <f>IFERROR(I25/'2016'!I25,"")</f>
        <v/>
      </c>
      <c r="Z25" s="569" t="str">
        <f>IFERROR(J25/'2016'!J25,"")</f>
        <v/>
      </c>
      <c r="AA25" s="569" t="str">
        <f>IFERROR(K25/'2016'!K25,"")</f>
        <v/>
      </c>
      <c r="AB25" s="569" t="str">
        <f>IFERROR(L25/'2016'!L25,"")</f>
        <v/>
      </c>
      <c r="AC25" s="569" t="str">
        <f>IFERROR(M25/'2016'!M25,"")</f>
        <v/>
      </c>
      <c r="AD25" s="570" t="str">
        <f>IFERROR(N25/'2016'!N25,"")</f>
        <v/>
      </c>
      <c r="AE25" s="570" t="str">
        <f>IFERROR(O25/'2016'!O25,"")</f>
        <v/>
      </c>
    </row>
    <row r="26" spans="1:31" ht="15" customHeight="1" x14ac:dyDescent="0.3">
      <c r="A26" s="526" t="s">
        <v>28</v>
      </c>
      <c r="B26" s="922" t="e">
        <f>+#REF!-'2016'!B26</f>
        <v>#REF!</v>
      </c>
      <c r="C26" s="922" t="e">
        <f>+#REF!-'2016'!C26</f>
        <v>#REF!</v>
      </c>
      <c r="D26" s="922" t="e">
        <f>+#REF!-'2016'!D26</f>
        <v>#REF!</v>
      </c>
      <c r="E26" s="922" t="e">
        <f>+#REF!-'2016'!E26</f>
        <v>#REF!</v>
      </c>
      <c r="F26" s="919" t="e">
        <f>+#REF!-'2016'!F26</f>
        <v>#REF!</v>
      </c>
      <c r="G26" s="919" t="e">
        <f>+#REF!-'2016'!G26</f>
        <v>#REF!</v>
      </c>
      <c r="H26" s="919" t="e">
        <f>+#REF!-'2016'!H26</f>
        <v>#REF!</v>
      </c>
      <c r="I26" s="919" t="e">
        <f>+#REF!-'2016'!I26</f>
        <v>#REF!</v>
      </c>
      <c r="J26" s="920" t="e">
        <f>+#REF!-'2016'!J26</f>
        <v>#REF!</v>
      </c>
      <c r="K26" s="920" t="e">
        <f>+#REF!-'2016'!K26</f>
        <v>#REF!</v>
      </c>
      <c r="L26" s="920" t="e">
        <f>+#REF!-'2016'!L26</f>
        <v>#REF!</v>
      </c>
      <c r="M26" s="920" t="e">
        <f>+#REF!-'2016'!M26</f>
        <v>#REF!</v>
      </c>
      <c r="N26" s="921" t="e">
        <f>+#REF!-'2016'!N26</f>
        <v>#REF!</v>
      </c>
      <c r="O26" s="921" t="e">
        <f>+#REF!-'2016'!O26</f>
        <v>#REF!</v>
      </c>
      <c r="Q26" s="526" t="s">
        <v>28</v>
      </c>
      <c r="R26" s="877" t="str">
        <f>IFERROR(B26/'2016'!B26,"")</f>
        <v/>
      </c>
      <c r="S26" s="877" t="str">
        <f>IFERROR(C26/'2016'!C26,"")</f>
        <v/>
      </c>
      <c r="T26" s="877" t="str">
        <f>IFERROR(D26/'2016'!D26,"")</f>
        <v/>
      </c>
      <c r="U26" s="877" t="str">
        <f>IFERROR(E26/'2016'!E26,"")</f>
        <v/>
      </c>
      <c r="V26" s="771" t="str">
        <f>IFERROR(F26/'2016'!F26,"")</f>
        <v/>
      </c>
      <c r="W26" s="771" t="str">
        <f>IFERROR(G26/'2016'!G26,"")</f>
        <v/>
      </c>
      <c r="X26" s="771" t="str">
        <f>IFERROR(H26/'2016'!H26,"")</f>
        <v/>
      </c>
      <c r="Y26" s="771" t="str">
        <f>IFERROR(I26/'2016'!I26,"")</f>
        <v/>
      </c>
      <c r="Z26" s="569" t="str">
        <f>IFERROR(J26/'2016'!J26,"")</f>
        <v/>
      </c>
      <c r="AA26" s="569" t="str">
        <f>IFERROR(K26/'2016'!K26,"")</f>
        <v/>
      </c>
      <c r="AB26" s="569" t="str">
        <f>IFERROR(L26/'2016'!L26,"")</f>
        <v/>
      </c>
      <c r="AC26" s="569" t="str">
        <f>IFERROR(M26/'2016'!M26,"")</f>
        <v/>
      </c>
      <c r="AD26" s="570" t="str">
        <f>IFERROR(N26/'2016'!N26,"")</f>
        <v/>
      </c>
      <c r="AE26" s="570" t="str">
        <f>IFERROR(O26/'2016'!O26,"")</f>
        <v/>
      </c>
    </row>
    <row r="27" spans="1:31" ht="15" customHeight="1" x14ac:dyDescent="0.3">
      <c r="A27" s="525" t="s">
        <v>29</v>
      </c>
      <c r="B27" s="922" t="e">
        <f>+#REF!-'2016'!B27</f>
        <v>#REF!</v>
      </c>
      <c r="C27" s="922" t="e">
        <f>+#REF!-'2016'!C27</f>
        <v>#REF!</v>
      </c>
      <c r="D27" s="922" t="e">
        <f>+#REF!-'2016'!D27</f>
        <v>#REF!</v>
      </c>
      <c r="E27" s="922" t="e">
        <f>+#REF!-'2016'!E27</f>
        <v>#REF!</v>
      </c>
      <c r="F27" s="919" t="e">
        <f>+#REF!-'2016'!F27</f>
        <v>#REF!</v>
      </c>
      <c r="G27" s="919" t="e">
        <f>+#REF!-'2016'!G27</f>
        <v>#REF!</v>
      </c>
      <c r="H27" s="919" t="e">
        <f>+#REF!-'2016'!H27</f>
        <v>#REF!</v>
      </c>
      <c r="I27" s="919" t="e">
        <f>+#REF!-'2016'!I27</f>
        <v>#REF!</v>
      </c>
      <c r="J27" s="920" t="e">
        <f>+#REF!-'2016'!J27</f>
        <v>#REF!</v>
      </c>
      <c r="K27" s="920" t="e">
        <f>+#REF!-'2016'!K27</f>
        <v>#REF!</v>
      </c>
      <c r="L27" s="920" t="e">
        <f>+#REF!-'2016'!L27</f>
        <v>#REF!</v>
      </c>
      <c r="M27" s="920" t="e">
        <f>+#REF!-'2016'!M27</f>
        <v>#REF!</v>
      </c>
      <c r="N27" s="921" t="e">
        <f>+#REF!-'2016'!N27</f>
        <v>#REF!</v>
      </c>
      <c r="O27" s="921" t="e">
        <f>+#REF!-'2016'!O27</f>
        <v>#REF!</v>
      </c>
      <c r="Q27" s="525" t="s">
        <v>29</v>
      </c>
      <c r="R27" s="877" t="str">
        <f>IFERROR(B27/'2016'!B27,"")</f>
        <v/>
      </c>
      <c r="S27" s="877" t="str">
        <f>IFERROR(C27/'2016'!C27,"")</f>
        <v/>
      </c>
      <c r="T27" s="877" t="str">
        <f>IFERROR(D27/'2016'!D27,"")</f>
        <v/>
      </c>
      <c r="U27" s="877" t="str">
        <f>IFERROR(E27/'2016'!E27,"")</f>
        <v/>
      </c>
      <c r="V27" s="771" t="str">
        <f>IFERROR(F27/'2016'!F27,"")</f>
        <v/>
      </c>
      <c r="W27" s="771" t="str">
        <f>IFERROR(G27/'2016'!G27,"")</f>
        <v/>
      </c>
      <c r="X27" s="771" t="str">
        <f>IFERROR(H27/'2016'!H27,"")</f>
        <v/>
      </c>
      <c r="Y27" s="771" t="str">
        <f>IFERROR(I27/'2016'!I27,"")</f>
        <v/>
      </c>
      <c r="Z27" s="569" t="str">
        <f>IFERROR(J27/'2016'!J27,"")</f>
        <v/>
      </c>
      <c r="AA27" s="569" t="str">
        <f>IFERROR(K27/'2016'!K27,"")</f>
        <v/>
      </c>
      <c r="AB27" s="569" t="str">
        <f>IFERROR(L27/'2016'!L27,"")</f>
        <v/>
      </c>
      <c r="AC27" s="569" t="str">
        <f>IFERROR(M27/'2016'!M27,"")</f>
        <v/>
      </c>
      <c r="AD27" s="570" t="str">
        <f>IFERROR(N27/'2016'!N27,"")</f>
        <v/>
      </c>
      <c r="AE27" s="570" t="str">
        <f>IFERROR(O27/'2016'!O27,"")</f>
        <v/>
      </c>
    </row>
    <row r="28" spans="1:31" ht="15" customHeight="1" x14ac:dyDescent="0.3">
      <c r="A28" s="525" t="s">
        <v>30</v>
      </c>
      <c r="B28" s="922" t="e">
        <f>+#REF!-'2016'!B28</f>
        <v>#REF!</v>
      </c>
      <c r="C28" s="922" t="e">
        <f>+#REF!-'2016'!C28</f>
        <v>#REF!</v>
      </c>
      <c r="D28" s="922" t="e">
        <f>+#REF!-'2016'!D28</f>
        <v>#REF!</v>
      </c>
      <c r="E28" s="922" t="e">
        <f>+#REF!-'2016'!E28</f>
        <v>#REF!</v>
      </c>
      <c r="F28" s="919" t="e">
        <f>+#REF!-'2016'!F28</f>
        <v>#REF!</v>
      </c>
      <c r="G28" s="919" t="e">
        <f>+#REF!-'2016'!G28</f>
        <v>#REF!</v>
      </c>
      <c r="H28" s="919" t="e">
        <f>+#REF!-'2016'!H28</f>
        <v>#REF!</v>
      </c>
      <c r="I28" s="919" t="e">
        <f>+#REF!-'2016'!I28</f>
        <v>#REF!</v>
      </c>
      <c r="J28" s="920" t="e">
        <f>+#REF!-'2016'!J28</f>
        <v>#REF!</v>
      </c>
      <c r="K28" s="920" t="e">
        <f>+#REF!-'2016'!K28</f>
        <v>#REF!</v>
      </c>
      <c r="L28" s="920" t="e">
        <f>+#REF!-'2016'!L28</f>
        <v>#REF!</v>
      </c>
      <c r="M28" s="920" t="e">
        <f>+#REF!-'2016'!M28</f>
        <v>#REF!</v>
      </c>
      <c r="N28" s="921" t="e">
        <f>+#REF!-'2016'!N28</f>
        <v>#REF!</v>
      </c>
      <c r="O28" s="921" t="e">
        <f>+#REF!-'2016'!O28</f>
        <v>#REF!</v>
      </c>
      <c r="Q28" s="525" t="s">
        <v>30</v>
      </c>
      <c r="R28" s="877" t="str">
        <f>IFERROR(B28/'2016'!B28,"")</f>
        <v/>
      </c>
      <c r="S28" s="877" t="str">
        <f>IFERROR(C28/'2016'!C28,"")</f>
        <v/>
      </c>
      <c r="T28" s="877" t="str">
        <f>IFERROR(D28/'2016'!D28,"")</f>
        <v/>
      </c>
      <c r="U28" s="877" t="str">
        <f>IFERROR(E28/'2016'!E28,"")</f>
        <v/>
      </c>
      <c r="V28" s="771" t="str">
        <f>IFERROR(F28/'2016'!F28,"")</f>
        <v/>
      </c>
      <c r="W28" s="771" t="str">
        <f>IFERROR(G28/'2016'!G28,"")</f>
        <v/>
      </c>
      <c r="X28" s="771" t="str">
        <f>IFERROR(H28/'2016'!H28,"")</f>
        <v/>
      </c>
      <c r="Y28" s="771" t="str">
        <f>IFERROR(I28/'2016'!I28,"")</f>
        <v/>
      </c>
      <c r="Z28" s="569" t="str">
        <f>IFERROR(J28/'2016'!J28,"")</f>
        <v/>
      </c>
      <c r="AA28" s="569" t="str">
        <f>IFERROR(K28/'2016'!K28,"")</f>
        <v/>
      </c>
      <c r="AB28" s="569" t="str">
        <f>IFERROR(L28/'2016'!L28,"")</f>
        <v/>
      </c>
      <c r="AC28" s="569" t="str">
        <f>IFERROR(M28/'2016'!M28,"")</f>
        <v/>
      </c>
      <c r="AD28" s="570" t="str">
        <f>IFERROR(N28/'2016'!N28,"")</f>
        <v/>
      </c>
      <c r="AE28" s="570" t="str">
        <f>IFERROR(O28/'2016'!O28,"")</f>
        <v/>
      </c>
    </row>
    <row r="29" spans="1:31" ht="15" customHeight="1" x14ac:dyDescent="0.3">
      <c r="A29" s="527"/>
      <c r="B29" s="922" t="e">
        <f>+#REF!-'2016'!B29</f>
        <v>#REF!</v>
      </c>
      <c r="C29" s="922" t="e">
        <f>+#REF!-'2016'!C29</f>
        <v>#REF!</v>
      </c>
      <c r="D29" s="922" t="e">
        <f>+#REF!-'2016'!D29</f>
        <v>#REF!</v>
      </c>
      <c r="E29" s="922" t="e">
        <f>+#REF!-'2016'!E29</f>
        <v>#REF!</v>
      </c>
      <c r="F29" s="919" t="e">
        <f>+#REF!-'2016'!F29</f>
        <v>#REF!</v>
      </c>
      <c r="G29" s="919" t="e">
        <f>+#REF!-'2016'!G29</f>
        <v>#REF!</v>
      </c>
      <c r="H29" s="919" t="e">
        <f>+#REF!-'2016'!H29</f>
        <v>#REF!</v>
      </c>
      <c r="I29" s="919" t="e">
        <f>+#REF!-'2016'!I29</f>
        <v>#REF!</v>
      </c>
      <c r="J29" s="920" t="e">
        <f>+#REF!-'2016'!J29</f>
        <v>#REF!</v>
      </c>
      <c r="K29" s="920" t="e">
        <f>+#REF!-'2016'!K29</f>
        <v>#REF!</v>
      </c>
      <c r="L29" s="920" t="e">
        <f>+#REF!-'2016'!L29</f>
        <v>#REF!</v>
      </c>
      <c r="M29" s="920" t="e">
        <f>+#REF!-'2016'!M29</f>
        <v>#REF!</v>
      </c>
      <c r="N29" s="921" t="e">
        <f>+#REF!-'2016'!N29</f>
        <v>#REF!</v>
      </c>
      <c r="O29" s="921" t="e">
        <f>+#REF!-'2016'!O29</f>
        <v>#REF!</v>
      </c>
      <c r="Q29" s="527"/>
      <c r="R29" s="877" t="str">
        <f>IFERROR(B29/'2016'!B29,"")</f>
        <v/>
      </c>
      <c r="S29" s="877" t="str">
        <f>IFERROR(C29/'2016'!C29,"")</f>
        <v/>
      </c>
      <c r="T29" s="877" t="str">
        <f>IFERROR(D29/'2016'!D29,"")</f>
        <v/>
      </c>
      <c r="U29" s="877" t="str">
        <f>IFERROR(E29/'2016'!E29,"")</f>
        <v/>
      </c>
      <c r="V29" s="771" t="str">
        <f>IFERROR(F29/'2016'!F29,"")</f>
        <v/>
      </c>
      <c r="W29" s="771" t="str">
        <f>IFERROR(G29/'2016'!G29,"")</f>
        <v/>
      </c>
      <c r="X29" s="771" t="str">
        <f>IFERROR(H29/'2016'!H29,"")</f>
        <v/>
      </c>
      <c r="Y29" s="771" t="str">
        <f>IFERROR(I29/'2016'!I29,"")</f>
        <v/>
      </c>
      <c r="Z29" s="569" t="str">
        <f>IFERROR(J29/'2016'!J29,"")</f>
        <v/>
      </c>
      <c r="AA29" s="569" t="str">
        <f>IFERROR(K29/'2016'!K29,"")</f>
        <v/>
      </c>
      <c r="AB29" s="569" t="str">
        <f>IFERROR(L29/'2016'!L29,"")</f>
        <v/>
      </c>
      <c r="AC29" s="569" t="str">
        <f>IFERROR(M29/'2016'!M29,"")</f>
        <v/>
      </c>
      <c r="AD29" s="570" t="str">
        <f>IFERROR(N29/'2016'!N29,"")</f>
        <v/>
      </c>
      <c r="AE29" s="570" t="str">
        <f>IFERROR(O29/'2016'!O29,"")</f>
        <v/>
      </c>
    </row>
    <row r="30" spans="1:31" ht="15" customHeight="1" x14ac:dyDescent="0.3">
      <c r="A30" s="525" t="s">
        <v>31</v>
      </c>
      <c r="B30" s="922" t="e">
        <f>+#REF!-'2016'!B30</f>
        <v>#REF!</v>
      </c>
      <c r="C30" s="922" t="e">
        <f>+#REF!-'2016'!C30</f>
        <v>#REF!</v>
      </c>
      <c r="D30" s="922" t="e">
        <f>+#REF!-'2016'!D30</f>
        <v>#REF!</v>
      </c>
      <c r="E30" s="922" t="e">
        <f>+#REF!-'2016'!E30</f>
        <v>#REF!</v>
      </c>
      <c r="F30" s="919" t="e">
        <f>+#REF!-'2016'!F30</f>
        <v>#REF!</v>
      </c>
      <c r="G30" s="919" t="e">
        <f>+#REF!-'2016'!G30</f>
        <v>#REF!</v>
      </c>
      <c r="H30" s="919" t="e">
        <f>+#REF!-'2016'!H30</f>
        <v>#REF!</v>
      </c>
      <c r="I30" s="919" t="e">
        <f>+#REF!-'2016'!I30</f>
        <v>#REF!</v>
      </c>
      <c r="J30" s="920" t="e">
        <f>+#REF!-'2016'!J30</f>
        <v>#REF!</v>
      </c>
      <c r="K30" s="920" t="e">
        <f>+#REF!-'2016'!K30</f>
        <v>#REF!</v>
      </c>
      <c r="L30" s="920" t="e">
        <f>+#REF!-'2016'!L30</f>
        <v>#REF!</v>
      </c>
      <c r="M30" s="920" t="e">
        <f>+#REF!-'2016'!M30</f>
        <v>#REF!</v>
      </c>
      <c r="N30" s="921" t="e">
        <f>+#REF!-'2016'!N30</f>
        <v>#REF!</v>
      </c>
      <c r="O30" s="921" t="e">
        <f>+#REF!-'2016'!O30</f>
        <v>#REF!</v>
      </c>
      <c r="Q30" s="525" t="s">
        <v>31</v>
      </c>
      <c r="R30" s="877" t="str">
        <f>IFERROR(B30/'2016'!B30,"")</f>
        <v/>
      </c>
      <c r="S30" s="877" t="str">
        <f>IFERROR(C30/'2016'!C30,"")</f>
        <v/>
      </c>
      <c r="T30" s="877" t="str">
        <f>IFERROR(D30/'2016'!D30,"")</f>
        <v/>
      </c>
      <c r="U30" s="877" t="str">
        <f>IFERROR(E30/'2016'!E30,"")</f>
        <v/>
      </c>
      <c r="V30" s="771" t="str">
        <f>IFERROR(F30/'2016'!F30,"")</f>
        <v/>
      </c>
      <c r="W30" s="771" t="str">
        <f>IFERROR(G30/'2016'!G30,"")</f>
        <v/>
      </c>
      <c r="X30" s="771" t="str">
        <f>IFERROR(H30/'2016'!H30,"")</f>
        <v/>
      </c>
      <c r="Y30" s="771" t="str">
        <f>IFERROR(I30/'2016'!I30,"")</f>
        <v/>
      </c>
      <c r="Z30" s="569" t="str">
        <f>IFERROR(J30/'2016'!J30,"")</f>
        <v/>
      </c>
      <c r="AA30" s="569" t="str">
        <f>IFERROR(K30/'2016'!K30,"")</f>
        <v/>
      </c>
      <c r="AB30" s="569" t="str">
        <f>IFERROR(L30/'2016'!L30,"")</f>
        <v/>
      </c>
      <c r="AC30" s="569" t="str">
        <f>IFERROR(M30/'2016'!M30,"")</f>
        <v/>
      </c>
      <c r="AD30" s="570" t="str">
        <f>IFERROR(N30/'2016'!N30,"")</f>
        <v/>
      </c>
      <c r="AE30" s="570" t="str">
        <f>IFERROR(O30/'2016'!O30,"")</f>
        <v/>
      </c>
    </row>
    <row r="31" spans="1:31" ht="15" customHeight="1" x14ac:dyDescent="0.3">
      <c r="A31" s="525" t="s">
        <v>32</v>
      </c>
      <c r="B31" s="922" t="e">
        <f>+#REF!-'2016'!B31</f>
        <v>#REF!</v>
      </c>
      <c r="C31" s="922" t="e">
        <f>+#REF!-'2016'!C31</f>
        <v>#REF!</v>
      </c>
      <c r="D31" s="922" t="e">
        <f>+#REF!-'2016'!D31</f>
        <v>#REF!</v>
      </c>
      <c r="E31" s="922" t="e">
        <f>+#REF!-'2016'!E31</f>
        <v>#REF!</v>
      </c>
      <c r="F31" s="919" t="e">
        <f>+#REF!-'2016'!F31</f>
        <v>#REF!</v>
      </c>
      <c r="G31" s="919" t="e">
        <f>+#REF!-'2016'!G31</f>
        <v>#REF!</v>
      </c>
      <c r="H31" s="919" t="e">
        <f>+#REF!-'2016'!H31</f>
        <v>#REF!</v>
      </c>
      <c r="I31" s="919" t="e">
        <f>+#REF!-'2016'!I31</f>
        <v>#REF!</v>
      </c>
      <c r="J31" s="920" t="e">
        <f>+#REF!-'2016'!J31</f>
        <v>#REF!</v>
      </c>
      <c r="K31" s="920" t="e">
        <f>+#REF!-'2016'!K31</f>
        <v>#REF!</v>
      </c>
      <c r="L31" s="920" t="e">
        <f>+#REF!-'2016'!L31</f>
        <v>#REF!</v>
      </c>
      <c r="M31" s="920" t="e">
        <f>+#REF!-'2016'!M31</f>
        <v>#REF!</v>
      </c>
      <c r="N31" s="921" t="e">
        <f>+#REF!-'2016'!N31</f>
        <v>#REF!</v>
      </c>
      <c r="O31" s="921" t="e">
        <f>+#REF!-'2016'!O31</f>
        <v>#REF!</v>
      </c>
      <c r="Q31" s="525" t="s">
        <v>32</v>
      </c>
      <c r="R31" s="877" t="str">
        <f>IFERROR(B31/'2016'!B31,"")</f>
        <v/>
      </c>
      <c r="S31" s="877" t="str">
        <f>IFERROR(C31/'2016'!C31,"")</f>
        <v/>
      </c>
      <c r="T31" s="877" t="str">
        <f>IFERROR(D31/'2016'!D31,"")</f>
        <v/>
      </c>
      <c r="U31" s="877" t="str">
        <f>IFERROR(E31/'2016'!E31,"")</f>
        <v/>
      </c>
      <c r="V31" s="771" t="str">
        <f>IFERROR(F31/'2016'!F31,"")</f>
        <v/>
      </c>
      <c r="W31" s="771" t="str">
        <f>IFERROR(G31/'2016'!G31,"")</f>
        <v/>
      </c>
      <c r="X31" s="771" t="str">
        <f>IFERROR(H31/'2016'!H31,"")</f>
        <v/>
      </c>
      <c r="Y31" s="771" t="str">
        <f>IFERROR(I31/'2016'!I31,"")</f>
        <v/>
      </c>
      <c r="Z31" s="569" t="str">
        <f>IFERROR(J31/'2016'!J31,"")</f>
        <v/>
      </c>
      <c r="AA31" s="569" t="str">
        <f>IFERROR(K31/'2016'!K31,"")</f>
        <v/>
      </c>
      <c r="AB31" s="569" t="str">
        <f>IFERROR(L31/'2016'!L31,"")</f>
        <v/>
      </c>
      <c r="AC31" s="569" t="str">
        <f>IFERROR(M31/'2016'!M31,"")</f>
        <v/>
      </c>
      <c r="AD31" s="570" t="str">
        <f>IFERROR(N31/'2016'!N31,"")</f>
        <v/>
      </c>
      <c r="AE31" s="570" t="str">
        <f>IFERROR(O31/'2016'!O31,"")</f>
        <v/>
      </c>
    </row>
    <row r="32" spans="1:31" ht="15" customHeight="1" x14ac:dyDescent="0.3">
      <c r="A32" s="563" t="s">
        <v>33</v>
      </c>
      <c r="B32" s="918" t="e">
        <f>+#REF!-'2016'!B32</f>
        <v>#REF!</v>
      </c>
      <c r="C32" s="918" t="e">
        <f>+#REF!-'2016'!C32</f>
        <v>#REF!</v>
      </c>
      <c r="D32" s="918" t="e">
        <f>+#REF!-'2016'!D32</f>
        <v>#REF!</v>
      </c>
      <c r="E32" s="918" t="e">
        <f>+#REF!-'2016'!E32</f>
        <v>#REF!</v>
      </c>
      <c r="F32" s="919" t="e">
        <f>+#REF!-'2016'!F32</f>
        <v>#REF!</v>
      </c>
      <c r="G32" s="919" t="e">
        <f>+#REF!-'2016'!G32</f>
        <v>#REF!</v>
      </c>
      <c r="H32" s="919" t="e">
        <f>+#REF!-'2016'!H32</f>
        <v>#REF!</v>
      </c>
      <c r="I32" s="919" t="e">
        <f>+#REF!-'2016'!I32</f>
        <v>#REF!</v>
      </c>
      <c r="J32" s="920" t="e">
        <f>+#REF!-'2016'!J32</f>
        <v>#REF!</v>
      </c>
      <c r="K32" s="920" t="e">
        <f>+#REF!-'2016'!K32</f>
        <v>#REF!</v>
      </c>
      <c r="L32" s="920" t="e">
        <f>+#REF!-'2016'!L32</f>
        <v>#REF!</v>
      </c>
      <c r="M32" s="920" t="e">
        <f>+#REF!-'2016'!M32</f>
        <v>#REF!</v>
      </c>
      <c r="N32" s="921" t="e">
        <f>+#REF!-'2016'!N32</f>
        <v>#REF!</v>
      </c>
      <c r="O32" s="921" t="e">
        <f>+#REF!-'2016'!O32</f>
        <v>#REF!</v>
      </c>
      <c r="Q32" s="563" t="s">
        <v>33</v>
      </c>
      <c r="R32" s="877" t="str">
        <f>IFERROR(B32/'2016'!B32,"")</f>
        <v/>
      </c>
      <c r="S32" s="877" t="str">
        <f>IFERROR(C32/'2016'!C32,"")</f>
        <v/>
      </c>
      <c r="T32" s="877" t="str">
        <f>IFERROR(D32/'2016'!D32,"")</f>
        <v/>
      </c>
      <c r="U32" s="877" t="str">
        <f>IFERROR(E32/'2016'!E32,"")</f>
        <v/>
      </c>
      <c r="V32" s="771" t="str">
        <f>IFERROR(F32/'2016'!F32,"")</f>
        <v/>
      </c>
      <c r="W32" s="771" t="str">
        <f>IFERROR(G32/'2016'!G32,"")</f>
        <v/>
      </c>
      <c r="X32" s="771" t="str">
        <f>IFERROR(H32/'2016'!H32,"")</f>
        <v/>
      </c>
      <c r="Y32" s="771" t="str">
        <f>IFERROR(I32/'2016'!I32,"")</f>
        <v/>
      </c>
      <c r="Z32" s="569" t="str">
        <f>IFERROR(J32/'2016'!J32,"")</f>
        <v/>
      </c>
      <c r="AA32" s="569" t="str">
        <f>IFERROR(K32/'2016'!K32,"")</f>
        <v/>
      </c>
      <c r="AB32" s="569" t="str">
        <f>IFERROR(L32/'2016'!L32,"")</f>
        <v/>
      </c>
      <c r="AC32" s="569" t="str">
        <f>IFERROR(M32/'2016'!M32,"")</f>
        <v/>
      </c>
      <c r="AD32" s="570" t="str">
        <f>IFERROR(N32/'2016'!N32,"")</f>
        <v/>
      </c>
      <c r="AE32" s="570" t="str">
        <f>IFERROR(O32/'2016'!O32,"")</f>
        <v/>
      </c>
    </row>
    <row r="34" spans="18:19" x14ac:dyDescent="0.3">
      <c r="R34" s="38"/>
      <c r="S34" s="876"/>
    </row>
  </sheetData>
  <mergeCells count="6">
    <mergeCell ref="Z1:AC1"/>
    <mergeCell ref="B1:E1"/>
    <mergeCell ref="F1:I1"/>
    <mergeCell ref="J1:M1"/>
    <mergeCell ref="R1:U1"/>
    <mergeCell ref="V1:Y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Y98"/>
  <sheetViews>
    <sheetView topLeftCell="R1" workbookViewId="0">
      <selection activeCell="I70" sqref="I70"/>
    </sheetView>
  </sheetViews>
  <sheetFormatPr baseColWidth="10" defaultRowHeight="14.4" x14ac:dyDescent="0.3"/>
  <cols>
    <col min="3" max="3" width="21" customWidth="1"/>
    <col min="13" max="13" width="13.5546875" bestFit="1" customWidth="1"/>
    <col min="14" max="14" width="2.5546875" style="629" customWidth="1"/>
    <col min="15" max="15" width="2" customWidth="1"/>
  </cols>
  <sheetData>
    <row r="1" spans="1:51" ht="18" x14ac:dyDescent="0.35">
      <c r="A1" s="1144" t="s">
        <v>156</v>
      </c>
      <c r="B1" s="1144"/>
      <c r="C1" s="1144"/>
      <c r="D1" s="1144"/>
      <c r="E1" s="1144"/>
      <c r="F1" s="1144"/>
      <c r="G1" s="1144"/>
      <c r="H1" s="1144"/>
      <c r="I1" s="1144"/>
      <c r="J1" s="1144"/>
      <c r="K1" s="1144"/>
      <c r="L1" s="1144"/>
      <c r="P1" s="1144" t="s">
        <v>162</v>
      </c>
      <c r="Q1" s="1144"/>
      <c r="R1" s="1144"/>
      <c r="S1" s="1144"/>
      <c r="T1" s="1144"/>
      <c r="U1" s="1144"/>
      <c r="V1" s="1144"/>
      <c r="W1" s="1144"/>
      <c r="X1" s="1144"/>
      <c r="Y1" s="1144"/>
      <c r="Z1" s="1144"/>
      <c r="AA1" s="1144"/>
      <c r="AB1" s="1144"/>
      <c r="AC1" s="1144"/>
      <c r="AD1" s="1144"/>
      <c r="AE1" s="1144"/>
      <c r="AF1" s="1144"/>
      <c r="AG1" s="1144"/>
      <c r="AH1" s="1144"/>
    </row>
    <row r="2" spans="1:51" ht="15" thickBot="1" x14ac:dyDescent="0.35"/>
    <row r="3" spans="1:51" ht="15.75" customHeight="1" thickBot="1" x14ac:dyDescent="0.35">
      <c r="A3" s="1152" t="s">
        <v>157</v>
      </c>
      <c r="B3" s="1153"/>
      <c r="C3" s="1153"/>
      <c r="D3" s="1154"/>
      <c r="E3" s="1157" t="s">
        <v>104</v>
      </c>
      <c r="F3" s="1158"/>
      <c r="G3" s="1159"/>
      <c r="Q3" s="1152" t="s">
        <v>157</v>
      </c>
      <c r="R3" s="1153"/>
      <c r="S3" s="1153"/>
      <c r="T3" s="1154"/>
      <c r="U3" s="1157" t="s">
        <v>163</v>
      </c>
      <c r="V3" s="1158"/>
      <c r="W3" s="1158"/>
      <c r="X3" s="1158"/>
      <c r="Y3" s="1158"/>
      <c r="Z3" s="1159"/>
      <c r="AA3" s="598"/>
      <c r="AE3" s="729"/>
      <c r="AF3" s="728"/>
      <c r="AG3" s="728"/>
      <c r="AH3" s="728"/>
      <c r="AI3" s="730"/>
      <c r="AK3" s="729"/>
      <c r="AL3" s="728"/>
      <c r="AM3" s="728"/>
      <c r="AN3" s="728"/>
      <c r="AO3" s="730"/>
      <c r="AP3" s="728"/>
      <c r="AQ3" s="728"/>
    </row>
    <row r="4" spans="1:51" x14ac:dyDescent="0.3">
      <c r="A4" s="1146"/>
      <c r="B4" s="1149"/>
      <c r="C4" s="1149"/>
      <c r="D4" s="1155"/>
      <c r="E4" s="781" t="s">
        <v>92</v>
      </c>
      <c r="F4" s="784" t="s">
        <v>6</v>
      </c>
      <c r="G4" s="782" t="s">
        <v>93</v>
      </c>
      <c r="Q4" s="1146"/>
      <c r="R4" s="1149"/>
      <c r="S4" s="1149"/>
      <c r="T4" s="1155"/>
      <c r="U4" s="1160" t="s">
        <v>92</v>
      </c>
      <c r="V4" s="1162"/>
      <c r="W4" s="1168" t="s">
        <v>6</v>
      </c>
      <c r="X4" s="1162"/>
      <c r="Y4" s="1163" t="s">
        <v>93</v>
      </c>
      <c r="Z4" s="1164"/>
      <c r="AA4" s="598"/>
      <c r="AE4" s="728"/>
      <c r="AF4" s="764"/>
      <c r="AG4" s="847"/>
      <c r="AH4" s="847"/>
      <c r="AI4" s="847"/>
      <c r="AJ4" s="848"/>
      <c r="AK4" s="728"/>
      <c r="AL4" s="728"/>
      <c r="AM4" s="728"/>
      <c r="AN4" s="728"/>
      <c r="AO4" s="773"/>
      <c r="AP4" s="773"/>
      <c r="AQ4" s="773"/>
    </row>
    <row r="5" spans="1:51" ht="15" thickBot="1" x14ac:dyDescent="0.35">
      <c r="A5" s="1147"/>
      <c r="B5" s="1151"/>
      <c r="C5" s="1151"/>
      <c r="D5" s="1156"/>
      <c r="E5" s="587" t="s">
        <v>40</v>
      </c>
      <c r="F5" s="588" t="s">
        <v>40</v>
      </c>
      <c r="G5" s="589" t="s">
        <v>40</v>
      </c>
      <c r="Q5" s="1146"/>
      <c r="R5" s="1149"/>
      <c r="S5" s="1149"/>
      <c r="T5" s="1155"/>
      <c r="U5" s="1160" t="s">
        <v>105</v>
      </c>
      <c r="V5" s="1162"/>
      <c r="W5" s="1168" t="s">
        <v>105</v>
      </c>
      <c r="X5" s="1162"/>
      <c r="Y5" s="1163" t="s">
        <v>105</v>
      </c>
      <c r="Z5" s="1164"/>
      <c r="AA5" s="598"/>
      <c r="AE5" s="728"/>
      <c r="AF5" s="847"/>
      <c r="AG5" s="847"/>
      <c r="AH5" s="847"/>
      <c r="AI5" s="847"/>
      <c r="AJ5" s="848"/>
      <c r="AK5" s="728"/>
      <c r="AL5" s="728"/>
      <c r="AM5" s="728"/>
      <c r="AN5" s="728"/>
      <c r="AO5" s="773"/>
      <c r="AP5" s="773"/>
      <c r="AQ5" s="773"/>
    </row>
    <row r="6" spans="1:51" ht="15.75" customHeight="1" thickBot="1" x14ac:dyDescent="0.35">
      <c r="A6" s="1145" t="s">
        <v>41</v>
      </c>
      <c r="B6" s="1148" t="s">
        <v>42</v>
      </c>
      <c r="C6" s="1148" t="s">
        <v>49</v>
      </c>
      <c r="D6" s="849" t="s">
        <v>42</v>
      </c>
      <c r="E6" s="850">
        <v>546688.33345766866</v>
      </c>
      <c r="F6" s="851">
        <v>769790.67431670928</v>
      </c>
      <c r="G6" s="852">
        <v>458482.29532552813</v>
      </c>
      <c r="H6">
        <f>+(E6+E7)/SUM(E6:G7)</f>
        <v>0.23272713910306558</v>
      </c>
      <c r="I6">
        <f>+(F6+F7)/G11</f>
        <v>0.41319916538640344</v>
      </c>
      <c r="J6">
        <f>+(G6+G7)/G11</f>
        <v>0.35407369551053097</v>
      </c>
      <c r="Q6" s="1146"/>
      <c r="R6" s="1149"/>
      <c r="S6" s="1149"/>
      <c r="T6" s="1155"/>
      <c r="U6" s="781" t="s">
        <v>106</v>
      </c>
      <c r="V6" s="784" t="s">
        <v>107</v>
      </c>
      <c r="W6" s="784" t="s">
        <v>106</v>
      </c>
      <c r="X6" s="784" t="s">
        <v>107</v>
      </c>
      <c r="Y6" s="784" t="s">
        <v>106</v>
      </c>
      <c r="Z6" s="782" t="s">
        <v>107</v>
      </c>
      <c r="AA6" s="598"/>
      <c r="AE6" s="728"/>
      <c r="AF6" s="847"/>
      <c r="AG6" s="847"/>
      <c r="AH6" s="847"/>
      <c r="AI6" s="847"/>
      <c r="AJ6" s="848"/>
      <c r="AK6" s="774"/>
      <c r="AL6" s="774"/>
      <c r="AM6" s="774"/>
      <c r="AN6" s="842"/>
      <c r="AO6" s="775"/>
      <c r="AP6" s="775"/>
      <c r="AQ6" s="775"/>
    </row>
    <row r="7" spans="1:51" ht="15" thickBot="1" x14ac:dyDescent="0.35">
      <c r="A7" s="1146"/>
      <c r="B7" s="1149"/>
      <c r="C7" s="1149"/>
      <c r="D7" s="590" t="s">
        <v>43</v>
      </c>
      <c r="E7" s="591">
        <v>48058.332090547039</v>
      </c>
      <c r="F7" s="592">
        <v>286161.91792495805</v>
      </c>
      <c r="G7" s="593">
        <v>446371.99272535194</v>
      </c>
      <c r="Q7" s="1147"/>
      <c r="R7" s="1151"/>
      <c r="S7" s="1151"/>
      <c r="T7" s="1156"/>
      <c r="U7" s="587" t="s">
        <v>40</v>
      </c>
      <c r="V7" s="588" t="s">
        <v>40</v>
      </c>
      <c r="W7" s="588" t="s">
        <v>40</v>
      </c>
      <c r="X7" s="588" t="s">
        <v>40</v>
      </c>
      <c r="Y7" s="588" t="s">
        <v>40</v>
      </c>
      <c r="Z7" s="589" t="s">
        <v>40</v>
      </c>
      <c r="AA7" s="598"/>
      <c r="AE7" s="728"/>
      <c r="AF7" s="847"/>
      <c r="AG7" s="847"/>
      <c r="AH7" s="847"/>
      <c r="AI7" s="847"/>
      <c r="AJ7" s="853"/>
      <c r="AK7" s="728"/>
      <c r="AL7" s="728"/>
      <c r="AM7" s="728"/>
      <c r="AN7" s="842"/>
      <c r="AO7" s="775"/>
      <c r="AP7" s="775"/>
      <c r="AQ7" s="775"/>
    </row>
    <row r="8" spans="1:51" ht="15.75" customHeight="1" thickBot="1" x14ac:dyDescent="0.35">
      <c r="A8" s="1146"/>
      <c r="B8" s="1150" t="s">
        <v>43</v>
      </c>
      <c r="C8" s="1150" t="s">
        <v>49</v>
      </c>
      <c r="D8" s="590" t="s">
        <v>42</v>
      </c>
      <c r="E8" s="591">
        <v>0</v>
      </c>
      <c r="F8" s="592">
        <v>0</v>
      </c>
      <c r="G8" s="593">
        <v>0</v>
      </c>
      <c r="H8" s="44">
        <f>SUM(E6:G7)</f>
        <v>2555553.545840763</v>
      </c>
      <c r="Q8" s="1145" t="s">
        <v>41</v>
      </c>
      <c r="R8" s="1148" t="s">
        <v>42</v>
      </c>
      <c r="S8" s="1148" t="s">
        <v>49</v>
      </c>
      <c r="T8" s="849" t="s">
        <v>42</v>
      </c>
      <c r="U8" s="850">
        <v>61671.792526638674</v>
      </c>
      <c r="V8" s="851">
        <v>57812.36189807576</v>
      </c>
      <c r="W8" s="851">
        <v>82085.650912868179</v>
      </c>
      <c r="X8" s="851">
        <v>77916.955925645947</v>
      </c>
      <c r="Y8" s="851">
        <v>35594.723133109379</v>
      </c>
      <c r="Z8" s="852">
        <v>34926.001792672898</v>
      </c>
      <c r="AA8" s="626">
        <f>SUM(U8:Z9)</f>
        <v>873896.18910086306</v>
      </c>
      <c r="AB8" s="44">
        <f>SUM(U8:U9,W8:W9,Y8:Y9)</f>
        <v>444302.85590348294</v>
      </c>
      <c r="AC8" s="44">
        <f>SUM(V8:V9,X8:X9,Z8:Z9)</f>
        <v>429593.33319738007</v>
      </c>
      <c r="AE8" s="768">
        <f>SUM(U8:V9)</f>
        <v>146620.27670272847</v>
      </c>
      <c r="AF8" s="854">
        <f>SUM(W8:X9)</f>
        <v>322955.32466227881</v>
      </c>
      <c r="AG8" s="854">
        <f>SUM(Y8:Z9)</f>
        <v>404320.58773585572</v>
      </c>
      <c r="AH8" s="847"/>
      <c r="AI8" s="847"/>
      <c r="AJ8" s="853"/>
      <c r="AK8" s="728"/>
      <c r="AL8" s="774"/>
      <c r="AM8" s="774"/>
      <c r="AN8" s="842"/>
      <c r="AO8" s="775"/>
      <c r="AP8" s="775"/>
      <c r="AQ8" s="775"/>
    </row>
    <row r="9" spans="1:51" ht="15" thickBot="1" x14ac:dyDescent="0.35">
      <c r="A9" s="1147"/>
      <c r="B9" s="1151"/>
      <c r="C9" s="1151"/>
      <c r="D9" s="594" t="s">
        <v>43</v>
      </c>
      <c r="E9" s="595">
        <v>741.88153681962558</v>
      </c>
      <c r="F9" s="596">
        <v>6089.214384663901</v>
      </c>
      <c r="G9" s="597">
        <v>32091.67742473324</v>
      </c>
      <c r="I9" s="44"/>
      <c r="K9" s="44"/>
      <c r="Q9" s="1146"/>
      <c r="R9" s="1149"/>
      <c r="S9" s="1149"/>
      <c r="T9" s="590" t="s">
        <v>43</v>
      </c>
      <c r="U9" s="591">
        <v>12235.149206513994</v>
      </c>
      <c r="V9" s="592">
        <v>14900.97307150005</v>
      </c>
      <c r="W9" s="592">
        <v>81983.298075195184</v>
      </c>
      <c r="X9" s="592">
        <v>80969.419748569504</v>
      </c>
      <c r="Y9" s="592">
        <v>170732.2420491575</v>
      </c>
      <c r="Z9" s="593">
        <v>163067.62076091595</v>
      </c>
      <c r="AA9" s="598"/>
      <c r="AE9" s="728"/>
      <c r="AF9" s="855"/>
      <c r="AG9" s="855"/>
      <c r="AH9" s="855"/>
      <c r="AI9" s="856"/>
      <c r="AJ9" s="857"/>
      <c r="AK9" s="728"/>
      <c r="AL9" s="728"/>
      <c r="AM9" s="728"/>
      <c r="AN9" s="842"/>
      <c r="AO9" s="775"/>
      <c r="AP9" s="775"/>
      <c r="AQ9" s="775"/>
    </row>
    <row r="10" spans="1:51" ht="15" thickBot="1" x14ac:dyDescent="0.35">
      <c r="A10" s="780"/>
      <c r="B10" s="779"/>
      <c r="C10" s="779"/>
      <c r="D10" s="594"/>
      <c r="E10" s="595"/>
      <c r="F10" s="596"/>
      <c r="G10" s="597"/>
      <c r="Q10" s="1146"/>
      <c r="R10" s="1150" t="s">
        <v>43</v>
      </c>
      <c r="S10" s="1150" t="s">
        <v>49</v>
      </c>
      <c r="T10" s="590" t="s">
        <v>42</v>
      </c>
      <c r="U10" s="591">
        <v>0</v>
      </c>
      <c r="V10" s="592">
        <v>0</v>
      </c>
      <c r="W10" s="592">
        <v>0</v>
      </c>
      <c r="X10" s="592">
        <v>0</v>
      </c>
      <c r="Y10" s="592">
        <v>0</v>
      </c>
      <c r="Z10" s="593">
        <v>0</v>
      </c>
      <c r="AA10" s="598"/>
      <c r="AE10" s="770">
        <f>SUM(U8:V8)</f>
        <v>119484.15442471443</v>
      </c>
      <c r="AF10" s="854">
        <f>SUM(W8:X8)</f>
        <v>160002.60683851413</v>
      </c>
      <c r="AG10" s="854">
        <f>SUM(Y8:Z8)</f>
        <v>70520.72492578227</v>
      </c>
      <c r="AH10" s="854">
        <f>SUM(AE10:AG10)</f>
        <v>350007.48618901079</v>
      </c>
      <c r="AI10" s="856"/>
      <c r="AJ10" s="857"/>
      <c r="AK10" s="857"/>
      <c r="AL10" s="857"/>
      <c r="AM10" s="857"/>
      <c r="AN10" s="857"/>
      <c r="AO10" s="857"/>
      <c r="AP10" s="776"/>
    </row>
    <row r="11" spans="1:51" ht="15" thickBot="1" x14ac:dyDescent="0.35">
      <c r="E11" s="44"/>
      <c r="F11" s="44"/>
      <c r="G11" s="44">
        <f>SUM(E6:G7)</f>
        <v>2555553.545840763</v>
      </c>
      <c r="Q11" s="1147"/>
      <c r="R11" s="1151"/>
      <c r="S11" s="1151"/>
      <c r="T11" s="594" t="s">
        <v>43</v>
      </c>
      <c r="U11" s="595">
        <v>346.83281004708687</v>
      </c>
      <c r="V11" s="596">
        <v>366.75643224699883</v>
      </c>
      <c r="W11" s="596">
        <v>1773.3154455343824</v>
      </c>
      <c r="X11" s="596">
        <v>1370.3246047212297</v>
      </c>
      <c r="Y11" s="596">
        <v>12877.495114684603</v>
      </c>
      <c r="Z11" s="597">
        <v>10212.904068958047</v>
      </c>
      <c r="AA11" s="626">
        <f>SUM(U8:Z9)</f>
        <v>873896.18910086306</v>
      </c>
      <c r="AB11" s="44">
        <f>SUM(U10:Z11)</f>
        <v>26947.628476192349</v>
      </c>
      <c r="AE11" s="728"/>
      <c r="AF11" s="847"/>
      <c r="AG11" s="855"/>
      <c r="AH11" s="855"/>
      <c r="AI11" s="856"/>
      <c r="AJ11" s="857"/>
      <c r="AK11" s="857"/>
      <c r="AL11" s="857"/>
      <c r="AM11" s="857"/>
      <c r="AN11" s="857"/>
      <c r="AO11" s="857"/>
      <c r="AP11" s="776"/>
    </row>
    <row r="12" spans="1:51" x14ac:dyDescent="0.3">
      <c r="E12" s="44">
        <f>+E6+E7</f>
        <v>594746.66554821574</v>
      </c>
      <c r="F12" s="44">
        <f>+F6+F7</f>
        <v>1055952.5922416672</v>
      </c>
      <c r="G12" s="44">
        <f>+G6+G7</f>
        <v>904854.28805088007</v>
      </c>
      <c r="I12" s="44"/>
      <c r="V12" s="44">
        <f>+U8+V8</f>
        <v>119484.15442471443</v>
      </c>
      <c r="X12" s="44">
        <f>+W8+X8</f>
        <v>160002.60683851413</v>
      </c>
      <c r="Z12" s="44">
        <f>+Y8+Z8</f>
        <v>70520.72492578227</v>
      </c>
      <c r="AA12" s="44">
        <f>SUM(U8:Z11)</f>
        <v>900843.81757705542</v>
      </c>
      <c r="AB12">
        <f>+AA11/AA12</f>
        <v>0.97008623698093221</v>
      </c>
      <c r="AC12" s="598"/>
      <c r="AF12" s="847"/>
      <c r="AG12" s="847"/>
      <c r="AH12" s="847"/>
      <c r="AI12" s="856"/>
      <c r="AJ12" s="857"/>
      <c r="AK12" s="857"/>
      <c r="AL12" s="857"/>
      <c r="AM12" s="857"/>
      <c r="AN12" s="857"/>
      <c r="AO12" s="857"/>
      <c r="AP12" s="776"/>
    </row>
    <row r="13" spans="1:51" ht="15" thickBot="1" x14ac:dyDescent="0.35">
      <c r="E13" s="627">
        <f>SUM(E6:E9)</f>
        <v>595488.54708503536</v>
      </c>
      <c r="F13" s="627">
        <f>SUM(F6:F9)</f>
        <v>1062041.8066263311</v>
      </c>
      <c r="G13" s="627">
        <f>SUM(G6:G9)</f>
        <v>936945.96547561337</v>
      </c>
      <c r="H13" s="44">
        <f>SUM(E13:G13)</f>
        <v>2594476.3191869799</v>
      </c>
      <c r="V13" s="44">
        <f>SUM(U8:V9)</f>
        <v>146620.27670272847</v>
      </c>
      <c r="X13" s="44">
        <f>SUM(W8:X9)</f>
        <v>322955.32466227881</v>
      </c>
      <c r="Z13" s="44">
        <f>SUM(Y8:Z9)</f>
        <v>404320.58773585572</v>
      </c>
      <c r="AC13" s="598"/>
    </row>
    <row r="14" spans="1:51" ht="15.75" customHeight="1" thickBot="1" x14ac:dyDescent="0.35">
      <c r="A14" s="1152" t="s">
        <v>157</v>
      </c>
      <c r="B14" s="1153"/>
      <c r="C14" s="1153"/>
      <c r="D14" s="1154"/>
      <c r="E14" s="1157" t="s">
        <v>82</v>
      </c>
      <c r="F14" s="1158"/>
      <c r="G14" s="1158"/>
      <c r="H14" s="1158"/>
      <c r="I14" s="1158"/>
      <c r="J14" s="1159"/>
      <c r="K14" s="598"/>
      <c r="AC14" s="598"/>
    </row>
    <row r="15" spans="1:51" ht="15" thickBot="1" x14ac:dyDescent="0.35">
      <c r="A15" s="1146"/>
      <c r="B15" s="1149"/>
      <c r="C15" s="1149"/>
      <c r="D15" s="1155"/>
      <c r="E15" s="1160" t="s">
        <v>158</v>
      </c>
      <c r="F15" s="1161"/>
      <c r="G15" s="1162"/>
      <c r="H15" s="1163" t="s">
        <v>159</v>
      </c>
      <c r="I15" s="1161"/>
      <c r="J15" s="1164"/>
      <c r="K15" s="598"/>
      <c r="Q15" s="1152" t="s">
        <v>157</v>
      </c>
      <c r="R15" s="1153"/>
      <c r="S15" s="1153"/>
      <c r="T15" s="1153"/>
      <c r="U15" s="1153"/>
      <c r="V15" s="1154"/>
      <c r="W15" s="1157" t="s">
        <v>105</v>
      </c>
      <c r="X15" s="1158"/>
      <c r="Y15" s="1158"/>
      <c r="Z15" s="1158"/>
      <c r="AA15" s="1158"/>
      <c r="AB15" s="1158"/>
      <c r="AC15" s="1158"/>
      <c r="AD15" s="1158"/>
      <c r="AE15" s="1158"/>
      <c r="AF15" s="1158"/>
      <c r="AG15" s="1158"/>
      <c r="AH15" s="1159"/>
      <c r="AI15" s="598"/>
      <c r="AJ15" s="598"/>
      <c r="AY15" s="598"/>
    </row>
    <row r="16" spans="1:51" x14ac:dyDescent="0.3">
      <c r="A16" s="1146"/>
      <c r="B16" s="1149"/>
      <c r="C16" s="1149"/>
      <c r="D16" s="1155"/>
      <c r="E16" s="1160" t="s">
        <v>104</v>
      </c>
      <c r="F16" s="1161"/>
      <c r="G16" s="1162"/>
      <c r="H16" s="1163" t="s">
        <v>104</v>
      </c>
      <c r="I16" s="1161"/>
      <c r="J16" s="1164"/>
      <c r="K16" s="598"/>
      <c r="Q16" s="1146"/>
      <c r="R16" s="1149"/>
      <c r="S16" s="1149"/>
      <c r="T16" s="1149"/>
      <c r="U16" s="1149"/>
      <c r="V16" s="1155"/>
      <c r="W16" s="1160" t="s">
        <v>106</v>
      </c>
      <c r="X16" s="1161"/>
      <c r="Y16" s="1161"/>
      <c r="Z16" s="1161"/>
      <c r="AA16" s="1161"/>
      <c r="AB16" s="1162"/>
      <c r="AC16" s="1163" t="s">
        <v>107</v>
      </c>
      <c r="AD16" s="1161"/>
      <c r="AE16" s="1161"/>
      <c r="AF16" s="1161"/>
      <c r="AG16" s="1161"/>
      <c r="AH16" s="1164"/>
      <c r="AI16" s="598"/>
      <c r="AJ16" s="598"/>
      <c r="AY16" s="598"/>
    </row>
    <row r="17" spans="1:51" ht="15.75" customHeight="1" thickBot="1" x14ac:dyDescent="0.35">
      <c r="A17" s="1146"/>
      <c r="B17" s="1149"/>
      <c r="C17" s="1149"/>
      <c r="D17" s="1155"/>
      <c r="E17" s="781" t="s">
        <v>92</v>
      </c>
      <c r="F17" s="784" t="s">
        <v>6</v>
      </c>
      <c r="G17" s="784" t="s">
        <v>93</v>
      </c>
      <c r="H17" s="784" t="s">
        <v>92</v>
      </c>
      <c r="I17" s="784" t="s">
        <v>6</v>
      </c>
      <c r="J17" s="782" t="s">
        <v>93</v>
      </c>
      <c r="K17" s="598"/>
      <c r="Q17" s="1146"/>
      <c r="R17" s="1149"/>
      <c r="S17" s="1149"/>
      <c r="T17" s="1149"/>
      <c r="U17" s="1149"/>
      <c r="V17" s="1155"/>
      <c r="W17" s="1178" t="s">
        <v>82</v>
      </c>
      <c r="X17" s="1179"/>
      <c r="Y17" s="1179"/>
      <c r="Z17" s="1179"/>
      <c r="AA17" s="1179"/>
      <c r="AB17" s="1180"/>
      <c r="AC17" s="1181" t="s">
        <v>82</v>
      </c>
      <c r="AD17" s="1179"/>
      <c r="AE17" s="1179"/>
      <c r="AF17" s="1179"/>
      <c r="AG17" s="1179"/>
      <c r="AH17" s="1182"/>
      <c r="AI17" s="598"/>
      <c r="AJ17" s="598"/>
      <c r="AY17" s="598"/>
    </row>
    <row r="18" spans="1:51" ht="15" thickBot="1" x14ac:dyDescent="0.35">
      <c r="A18" s="1147"/>
      <c r="B18" s="1151"/>
      <c r="C18" s="1151"/>
      <c r="D18" s="1156"/>
      <c r="E18" s="587" t="s">
        <v>40</v>
      </c>
      <c r="F18" s="588" t="s">
        <v>40</v>
      </c>
      <c r="G18" s="588" t="s">
        <v>40</v>
      </c>
      <c r="H18" s="588" t="s">
        <v>40</v>
      </c>
      <c r="I18" s="588" t="s">
        <v>40</v>
      </c>
      <c r="J18" s="589" t="s">
        <v>40</v>
      </c>
      <c r="K18" s="598"/>
      <c r="Q18" s="1146"/>
      <c r="R18" s="1149"/>
      <c r="S18" s="1149"/>
      <c r="T18" s="1149"/>
      <c r="U18" s="1149"/>
      <c r="V18" s="1149"/>
      <c r="W18" s="1175" t="s">
        <v>83</v>
      </c>
      <c r="X18" s="1176"/>
      <c r="Y18" s="1177"/>
      <c r="Z18" s="1175" t="s">
        <v>84</v>
      </c>
      <c r="AA18" s="1176"/>
      <c r="AB18" s="1177"/>
      <c r="AC18" s="1175" t="s">
        <v>83</v>
      </c>
      <c r="AD18" s="1176"/>
      <c r="AE18" s="1177"/>
      <c r="AF18" s="1183" t="s">
        <v>84</v>
      </c>
      <c r="AG18" s="1176"/>
      <c r="AH18" s="1177"/>
      <c r="AI18" s="598"/>
      <c r="AJ18" s="598"/>
      <c r="AY18" s="598"/>
    </row>
    <row r="19" spans="1:51" ht="15.75" customHeight="1" thickBot="1" x14ac:dyDescent="0.35">
      <c r="A19" s="1145" t="s">
        <v>160</v>
      </c>
      <c r="B19" s="1148" t="s">
        <v>122</v>
      </c>
      <c r="C19" s="1148" t="s">
        <v>130</v>
      </c>
      <c r="D19" s="849" t="s">
        <v>43</v>
      </c>
      <c r="E19" s="850">
        <v>86403.156727086898</v>
      </c>
      <c r="F19" s="851">
        <v>510999.00120798353</v>
      </c>
      <c r="G19" s="851">
        <v>775958.25590951426</v>
      </c>
      <c r="H19" s="851">
        <v>103126.47116004645</v>
      </c>
      <c r="I19" s="851">
        <v>548380.15315089177</v>
      </c>
      <c r="J19" s="852">
        <v>815387.36917483376</v>
      </c>
      <c r="K19" s="626">
        <f>SUM(E19:J20)</f>
        <v>9867716.6892890707</v>
      </c>
      <c r="Q19" s="1146"/>
      <c r="R19" s="1149"/>
      <c r="S19" s="1149"/>
      <c r="T19" s="1149"/>
      <c r="U19" s="1149"/>
      <c r="V19" s="1149"/>
      <c r="W19" s="1165" t="s">
        <v>163</v>
      </c>
      <c r="X19" s="1161"/>
      <c r="Y19" s="1166"/>
      <c r="Z19" s="1165" t="s">
        <v>163</v>
      </c>
      <c r="AA19" s="1161"/>
      <c r="AB19" s="1166"/>
      <c r="AC19" s="1165" t="s">
        <v>163</v>
      </c>
      <c r="AD19" s="1161"/>
      <c r="AE19" s="1166"/>
      <c r="AF19" s="1167" t="s">
        <v>163</v>
      </c>
      <c r="AG19" s="1161"/>
      <c r="AH19" s="1166"/>
      <c r="AI19" s="598"/>
      <c r="AJ19" s="598"/>
      <c r="AY19" s="598"/>
    </row>
    <row r="20" spans="1:51" x14ac:dyDescent="0.3">
      <c r="A20" s="1146"/>
      <c r="B20" s="1149"/>
      <c r="C20" s="1149"/>
      <c r="D20" s="590" t="s">
        <v>42</v>
      </c>
      <c r="E20" s="591">
        <v>995510.50165379676</v>
      </c>
      <c r="F20" s="592">
        <v>1550021.894662258</v>
      </c>
      <c r="G20" s="592">
        <v>879863.42478742823</v>
      </c>
      <c r="H20" s="592">
        <v>1039571.1911054126</v>
      </c>
      <c r="I20" s="592">
        <v>1646258.9001015858</v>
      </c>
      <c r="J20" s="593">
        <v>916236.36964823306</v>
      </c>
      <c r="K20" s="598"/>
      <c r="Q20" s="1146"/>
      <c r="R20" s="1149"/>
      <c r="S20" s="1149"/>
      <c r="T20" s="1149"/>
      <c r="U20" s="1149"/>
      <c r="V20" s="1149"/>
      <c r="W20" s="783" t="s">
        <v>92</v>
      </c>
      <c r="X20" s="784" t="s">
        <v>6</v>
      </c>
      <c r="Y20" s="735" t="s">
        <v>93</v>
      </c>
      <c r="Z20" s="783" t="s">
        <v>92</v>
      </c>
      <c r="AA20" s="784" t="s">
        <v>6</v>
      </c>
      <c r="AB20" s="735" t="s">
        <v>93</v>
      </c>
      <c r="AC20" s="783" t="s">
        <v>92</v>
      </c>
      <c r="AD20" s="784" t="s">
        <v>6</v>
      </c>
      <c r="AE20" s="735" t="s">
        <v>93</v>
      </c>
      <c r="AF20" s="783" t="s">
        <v>92</v>
      </c>
      <c r="AG20" s="784" t="s">
        <v>6</v>
      </c>
      <c r="AH20" s="735" t="s">
        <v>93</v>
      </c>
      <c r="AI20" s="598"/>
      <c r="AJ20" s="598"/>
      <c r="AY20" s="598"/>
    </row>
    <row r="21" spans="1:51" ht="15" thickBot="1" x14ac:dyDescent="0.35">
      <c r="A21" s="1146"/>
      <c r="B21" s="1150" t="s">
        <v>123</v>
      </c>
      <c r="C21" s="1150" t="s">
        <v>130</v>
      </c>
      <c r="D21" s="590" t="s">
        <v>157</v>
      </c>
      <c r="E21" s="591">
        <v>0</v>
      </c>
      <c r="F21" s="592">
        <v>4684.7877071501298</v>
      </c>
      <c r="G21" s="592">
        <v>27615.717851329093</v>
      </c>
      <c r="H21" s="592">
        <v>1914.5570971184634</v>
      </c>
      <c r="I21" s="592">
        <v>8144.6633552171434</v>
      </c>
      <c r="J21" s="593">
        <v>20312.57551133573</v>
      </c>
      <c r="K21" s="598"/>
      <c r="Q21" s="1147"/>
      <c r="R21" s="1149"/>
      <c r="S21" s="1149"/>
      <c r="T21" s="1149"/>
      <c r="U21" s="1149"/>
      <c r="V21" s="1149"/>
      <c r="W21" s="743" t="s">
        <v>40</v>
      </c>
      <c r="X21" s="624" t="s">
        <v>40</v>
      </c>
      <c r="Y21" s="744" t="s">
        <v>40</v>
      </c>
      <c r="Z21" s="743" t="s">
        <v>40</v>
      </c>
      <c r="AA21" s="624" t="s">
        <v>40</v>
      </c>
      <c r="AB21" s="744" t="s">
        <v>40</v>
      </c>
      <c r="AC21" s="743" t="s">
        <v>40</v>
      </c>
      <c r="AD21" s="624" t="s">
        <v>40</v>
      </c>
      <c r="AE21" s="744" t="s">
        <v>40</v>
      </c>
      <c r="AF21" s="743" t="s">
        <v>40</v>
      </c>
      <c r="AG21" s="624" t="s">
        <v>40</v>
      </c>
      <c r="AH21" s="744" t="s">
        <v>40</v>
      </c>
      <c r="AI21" s="598"/>
      <c r="AJ21" s="598"/>
      <c r="AY21" s="598"/>
    </row>
    <row r="22" spans="1:51" ht="15.75" customHeight="1" thickBot="1" x14ac:dyDescent="0.35">
      <c r="A22" s="1147"/>
      <c r="B22" s="1151"/>
      <c r="C22" s="1151"/>
      <c r="D22" s="594" t="s">
        <v>43</v>
      </c>
      <c r="E22" s="595">
        <v>0</v>
      </c>
      <c r="F22" s="596">
        <v>0</v>
      </c>
      <c r="G22" s="596">
        <v>3449.2594934601875</v>
      </c>
      <c r="H22" s="596">
        <v>0</v>
      </c>
      <c r="I22" s="596">
        <v>2179.2779367999765</v>
      </c>
      <c r="J22" s="597">
        <v>4581.4717585413182</v>
      </c>
      <c r="K22" s="626">
        <f>SUM(E21:J22)</f>
        <v>72882.310710952035</v>
      </c>
      <c r="Q22" s="1145" t="s">
        <v>160</v>
      </c>
      <c r="R22" s="1169" t="s">
        <v>42</v>
      </c>
      <c r="S22" s="1172" t="s">
        <v>130</v>
      </c>
      <c r="T22" s="1172" t="s">
        <v>43</v>
      </c>
      <c r="U22" s="1172" t="s">
        <v>124</v>
      </c>
      <c r="V22" s="858" t="s">
        <v>122</v>
      </c>
      <c r="W22" s="859">
        <v>1821.7718717588252</v>
      </c>
      <c r="X22" s="860">
        <v>5409.8884190089084</v>
      </c>
      <c r="Y22" s="861">
        <v>15599.694694207563</v>
      </c>
      <c r="Z22" s="859">
        <v>1271.4171679858196</v>
      </c>
      <c r="AA22" s="860">
        <v>3406.2922213992288</v>
      </c>
      <c r="AB22" s="861">
        <v>16212.766392578465</v>
      </c>
      <c r="AC22" s="859">
        <v>1173.8900119911709</v>
      </c>
      <c r="AD22" s="860">
        <v>6119.8281009079528</v>
      </c>
      <c r="AE22" s="861">
        <v>16163.443040026046</v>
      </c>
      <c r="AF22" s="859">
        <v>0</v>
      </c>
      <c r="AG22" s="860">
        <v>5765.7373180306986</v>
      </c>
      <c r="AH22" s="861">
        <v>14292.152406073757</v>
      </c>
      <c r="AI22" s="598"/>
      <c r="AJ22" s="626"/>
      <c r="AK22" s="626"/>
      <c r="AL22" s="626"/>
      <c r="AY22" s="598"/>
    </row>
    <row r="23" spans="1:51" x14ac:dyDescent="0.3">
      <c r="E23" s="44">
        <f>+SUM(E19:E22,H19:H22)</f>
        <v>2226525.8777434612</v>
      </c>
      <c r="F23" s="44">
        <f>+SUM(F19:F22,I19:I22)</f>
        <v>4270668.6781218871</v>
      </c>
      <c r="G23" s="44">
        <f t="shared" ref="G23" si="0">+SUM(G19:G22,J19:J22)</f>
        <v>3443404.4441346754</v>
      </c>
      <c r="H23" s="44">
        <f>SUM(E23:G23)</f>
        <v>9940599.0000000242</v>
      </c>
      <c r="Q23" s="1146"/>
      <c r="R23" s="1170"/>
      <c r="S23" s="1149"/>
      <c r="T23" s="1149"/>
      <c r="U23" s="1149"/>
      <c r="V23" s="733" t="s">
        <v>123</v>
      </c>
      <c r="W23" s="736">
        <v>2574.5948205615946</v>
      </c>
      <c r="X23" s="732">
        <v>20338.341172094457</v>
      </c>
      <c r="Y23" s="737">
        <v>59047.956086580496</v>
      </c>
      <c r="Z23" s="736">
        <v>2130.7792479807399</v>
      </c>
      <c r="AA23" s="732">
        <v>21642.839419643187</v>
      </c>
      <c r="AB23" s="737">
        <v>59391.079174944389</v>
      </c>
      <c r="AC23" s="736">
        <v>4251.2970204992898</v>
      </c>
      <c r="AD23" s="732">
        <v>20179.537583761914</v>
      </c>
      <c r="AE23" s="737">
        <v>47106.523611437333</v>
      </c>
      <c r="AF23" s="736">
        <v>3223.6708718460363</v>
      </c>
      <c r="AG23" s="732">
        <v>19972.827729938857</v>
      </c>
      <c r="AH23" s="737">
        <v>41799.204234706071</v>
      </c>
      <c r="AI23" s="598"/>
      <c r="AJ23" s="778">
        <f>+W23+X23+Y23+W30+X30+Y30</f>
        <v>140783.30518032287</v>
      </c>
      <c r="AK23" s="778">
        <f>+Z23+AA23+AB23+Z30+AA30+AB30</f>
        <v>129301.19766451434</v>
      </c>
      <c r="AL23" s="727">
        <f>+AC23+AD23+AE23+AC30+AD30+AE30</f>
        <v>110895.78927084626</v>
      </c>
      <c r="AM23" s="627">
        <f>+AF23+AG23+AH23+AF30+AG30+AH30</f>
        <v>108639.1959653181</v>
      </c>
    </row>
    <row r="24" spans="1:51" x14ac:dyDescent="0.3">
      <c r="E24" s="777">
        <f>+SUM(E19:E20,H19:H20)</f>
        <v>2224611.3206463428</v>
      </c>
      <c r="F24" s="777">
        <f>+SUM(F19:F20,I19:I20)</f>
        <v>4255659.9491227195</v>
      </c>
      <c r="G24" s="777">
        <f>+SUM(G19:G20,J19:J20)</f>
        <v>3387445.4195200093</v>
      </c>
      <c r="H24" s="44"/>
      <c r="I24" s="44"/>
      <c r="J24" s="44"/>
      <c r="Q24" s="1146"/>
      <c r="R24" s="1170"/>
      <c r="S24" s="1149"/>
      <c r="T24" s="1149"/>
      <c r="U24" s="1149"/>
      <c r="V24" s="733" t="s">
        <v>125</v>
      </c>
      <c r="W24" s="736">
        <v>2899.4586997636575</v>
      </c>
      <c r="X24" s="732">
        <v>24236.848815466557</v>
      </c>
      <c r="Y24" s="737">
        <v>44345.543968139013</v>
      </c>
      <c r="Z24" s="736">
        <v>1952.6849829791779</v>
      </c>
      <c r="AA24" s="732">
        <v>18870.396205446305</v>
      </c>
      <c r="AB24" s="737">
        <v>40163.927562006953</v>
      </c>
      <c r="AC24" s="736">
        <v>3660.9460647411752</v>
      </c>
      <c r="AD24" s="732">
        <v>21003.968135380255</v>
      </c>
      <c r="AE24" s="737">
        <v>32040.853266791866</v>
      </c>
      <c r="AF24" s="736">
        <v>2977.6276836228717</v>
      </c>
      <c r="AG24" s="732">
        <v>19107.394265800176</v>
      </c>
      <c r="AH24" s="737">
        <v>36485.565850986648</v>
      </c>
      <c r="AI24" s="598"/>
      <c r="AJ24" s="778">
        <f t="shared" ref="AJ24:AJ27" si="1">+W24+X24+Y24+W31+X31+Y31</f>
        <v>115245.13802724401</v>
      </c>
      <c r="AK24" s="778">
        <f t="shared" ref="AK24:AK28" si="2">+Z24+AA24+AB24+Z31+AA31+AB31</f>
        <v>91770.967459637191</v>
      </c>
      <c r="AL24" s="727">
        <f t="shared" ref="AL24:AL28" si="3">+AC24+AD24+AE24+AC31+AD31+AE31</f>
        <v>89096.248528587326</v>
      </c>
      <c r="AM24" s="627">
        <f t="shared" ref="AM24:AM28" si="4">+AF24+AG24+AH24+AF31+AG31+AH31</f>
        <v>96872.588250351604</v>
      </c>
    </row>
    <row r="25" spans="1:51" x14ac:dyDescent="0.3">
      <c r="G25" s="44">
        <f>SUM(G33:G38,G40:G45)</f>
        <v>1040720.4927962029</v>
      </c>
      <c r="H25" s="44">
        <f t="shared" ref="H25:L25" si="5">SUM(H33:H38,H40:H45)</f>
        <v>1975020.4712028748</v>
      </c>
      <c r="I25" s="44">
        <f t="shared" si="5"/>
        <v>1546546.8548891353</v>
      </c>
      <c r="J25" s="44">
        <f>SUM(J33:J38,J40:J45)</f>
        <v>1112164.8807797239</v>
      </c>
      <c r="K25" s="44">
        <f t="shared" si="5"/>
        <v>2113684.7821674389</v>
      </c>
      <c r="L25" s="44">
        <f t="shared" si="5"/>
        <v>1626807.183326758</v>
      </c>
      <c r="M25" s="756">
        <f>+G25+H25+I25+J25+K25+L25</f>
        <v>9414944.6651621349</v>
      </c>
      <c r="Q25" s="1146"/>
      <c r="R25" s="1170"/>
      <c r="S25" s="1149"/>
      <c r="T25" s="1149"/>
      <c r="U25" s="1149"/>
      <c r="V25" s="733" t="s">
        <v>126</v>
      </c>
      <c r="W25" s="736">
        <v>5275.1810860679052</v>
      </c>
      <c r="X25" s="732">
        <v>29995.919453129049</v>
      </c>
      <c r="Y25" s="737">
        <v>55138.747103008929</v>
      </c>
      <c r="Z25" s="736">
        <v>3856.5405510366277</v>
      </c>
      <c r="AA25" s="732">
        <v>31473.480107440319</v>
      </c>
      <c r="AB25" s="737">
        <v>68107.981503407427</v>
      </c>
      <c r="AC25" s="736">
        <v>4615.473180248413</v>
      </c>
      <c r="AD25" s="732">
        <v>23674.12264896584</v>
      </c>
      <c r="AE25" s="737">
        <v>53977.900239842034</v>
      </c>
      <c r="AF25" s="736">
        <v>5933.7996739300916</v>
      </c>
      <c r="AG25" s="732">
        <v>27839.930351893436</v>
      </c>
      <c r="AH25" s="737">
        <v>54319.366046584735</v>
      </c>
      <c r="AI25" s="598"/>
      <c r="AJ25" s="778">
        <f t="shared" si="1"/>
        <v>145246.76271326924</v>
      </c>
      <c r="AK25" s="778">
        <f t="shared" si="2"/>
        <v>160562.93434470898</v>
      </c>
      <c r="AL25" s="727">
        <f t="shared" si="3"/>
        <v>130806.94211635971</v>
      </c>
      <c r="AM25" s="627">
        <f t="shared" si="4"/>
        <v>139774.37416630686</v>
      </c>
      <c r="AO25" s="482"/>
      <c r="AP25" s="482"/>
      <c r="AQ25" s="482"/>
      <c r="AR25" s="482"/>
      <c r="AS25" s="482"/>
      <c r="AT25" s="482"/>
      <c r="AU25" s="482"/>
      <c r="AV25" s="482"/>
      <c r="AW25" s="482"/>
      <c r="AX25" s="482"/>
    </row>
    <row r="26" spans="1:51" ht="15" thickBot="1" x14ac:dyDescent="0.35">
      <c r="G26" s="325">
        <f>+G25+J25</f>
        <v>2152885.3735759268</v>
      </c>
      <c r="H26" s="325">
        <f t="shared" ref="H26:I26" si="6">+H25+K25</f>
        <v>4088705.2533703139</v>
      </c>
      <c r="I26" s="325">
        <f t="shared" si="6"/>
        <v>3173354.0382158933</v>
      </c>
      <c r="M26" s="758">
        <f>+M25-[1]Uni_Lima_Cdes16!F16</f>
        <v>9414944.6651621349</v>
      </c>
      <c r="Q26" s="1146"/>
      <c r="R26" s="1170"/>
      <c r="S26" s="1149"/>
      <c r="T26" s="1149"/>
      <c r="U26" s="1149"/>
      <c r="V26" s="733" t="s">
        <v>127</v>
      </c>
      <c r="W26" s="736">
        <v>3791.2263035582314</v>
      </c>
      <c r="X26" s="732">
        <v>26924.487473540856</v>
      </c>
      <c r="Y26" s="737">
        <v>61839.808587236264</v>
      </c>
      <c r="Z26" s="736">
        <v>6008.1155545038346</v>
      </c>
      <c r="AA26" s="732">
        <v>34536.225897886652</v>
      </c>
      <c r="AB26" s="737">
        <v>77039.589904328008</v>
      </c>
      <c r="AC26" s="736">
        <v>4849.7409120528764</v>
      </c>
      <c r="AD26" s="732">
        <v>23653.741689106937</v>
      </c>
      <c r="AE26" s="737">
        <v>58737.779259340321</v>
      </c>
      <c r="AF26" s="736">
        <v>4849.7760929599481</v>
      </c>
      <c r="AG26" s="732">
        <v>32849.589112606976</v>
      </c>
      <c r="AH26" s="737">
        <v>59128.38204360575</v>
      </c>
      <c r="AI26" s="598"/>
      <c r="AJ26" s="778">
        <f t="shared" si="1"/>
        <v>152587.96913211007</v>
      </c>
      <c r="AK26" s="778">
        <f t="shared" si="2"/>
        <v>192336.28627569403</v>
      </c>
      <c r="AL26" s="727">
        <f t="shared" si="3"/>
        <v>148454.13398239913</v>
      </c>
      <c r="AM26" s="627">
        <f t="shared" si="4"/>
        <v>168719.8289735491</v>
      </c>
    </row>
    <row r="27" spans="1:51" ht="15" thickBot="1" x14ac:dyDescent="0.35">
      <c r="A27" s="1152" t="s">
        <v>157</v>
      </c>
      <c r="B27" s="1153"/>
      <c r="C27" s="1153"/>
      <c r="D27" s="1153"/>
      <c r="E27" s="1153"/>
      <c r="F27" s="1154"/>
      <c r="G27" s="1157" t="s">
        <v>82</v>
      </c>
      <c r="H27" s="1158"/>
      <c r="I27" s="1158"/>
      <c r="J27" s="1158"/>
      <c r="K27" s="1158"/>
      <c r="L27" s="1159"/>
      <c r="M27" s="598"/>
      <c r="Q27" s="1146"/>
      <c r="R27" s="1170"/>
      <c r="S27" s="1149"/>
      <c r="T27" s="1149"/>
      <c r="U27" s="1149"/>
      <c r="V27" s="733" t="s">
        <v>128</v>
      </c>
      <c r="W27" s="736">
        <v>2979.042720520707</v>
      </c>
      <c r="X27" s="732">
        <v>21875.159953565333</v>
      </c>
      <c r="Y27" s="737">
        <v>40484.794931448021</v>
      </c>
      <c r="Z27" s="736">
        <v>3190.3034952214512</v>
      </c>
      <c r="AA27" s="732">
        <v>30037.173930177494</v>
      </c>
      <c r="AB27" s="737">
        <v>44875.332883941854</v>
      </c>
      <c r="AC27" s="736">
        <v>4665.9684645813904</v>
      </c>
      <c r="AD27" s="732">
        <v>24340.205453943334</v>
      </c>
      <c r="AE27" s="737">
        <v>33225.957439530641</v>
      </c>
      <c r="AF27" s="736">
        <v>4637.5145274723227</v>
      </c>
      <c r="AG27" s="732">
        <v>29794.291062115713</v>
      </c>
      <c r="AH27" s="737">
        <v>41526.853293394248</v>
      </c>
      <c r="AI27" s="598"/>
      <c r="AJ27" s="778">
        <f t="shared" si="1"/>
        <v>120568.89493539855</v>
      </c>
      <c r="AK27" s="778">
        <f t="shared" si="2"/>
        <v>141229.13180133325</v>
      </c>
      <c r="AL27" s="727">
        <f t="shared" si="3"/>
        <v>116742.59639882145</v>
      </c>
      <c r="AM27" s="627">
        <f t="shared" si="4"/>
        <v>131143.85277286821</v>
      </c>
    </row>
    <row r="28" spans="1:51" x14ac:dyDescent="0.3">
      <c r="A28" s="1146"/>
      <c r="B28" s="1149"/>
      <c r="C28" s="1149"/>
      <c r="D28" s="1149"/>
      <c r="E28" s="1149"/>
      <c r="F28" s="1155"/>
      <c r="G28" s="1160" t="s">
        <v>158</v>
      </c>
      <c r="H28" s="1161"/>
      <c r="I28" s="1162"/>
      <c r="J28" s="1163" t="s">
        <v>159</v>
      </c>
      <c r="K28" s="1161"/>
      <c r="L28" s="1164"/>
      <c r="M28" s="598"/>
      <c r="Q28" s="1146"/>
      <c r="R28" s="1170"/>
      <c r="S28" s="1149"/>
      <c r="T28" s="1149"/>
      <c r="U28" s="1149"/>
      <c r="V28" s="733" t="s">
        <v>129</v>
      </c>
      <c r="W28" s="736">
        <v>3650.9793814297282</v>
      </c>
      <c r="X28" s="732">
        <v>34851.578997289398</v>
      </c>
      <c r="Y28" s="737">
        <v>50715.136626924606</v>
      </c>
      <c r="Z28" s="736">
        <v>6253.1289154572059</v>
      </c>
      <c r="AA28" s="732">
        <v>38386.807025444665</v>
      </c>
      <c r="AB28" s="737">
        <v>60306.016450959272</v>
      </c>
      <c r="AC28" s="736">
        <v>7582.7486852484162</v>
      </c>
      <c r="AD28" s="732">
        <v>26819.068097858446</v>
      </c>
      <c r="AE28" s="737">
        <v>47154.747151485863</v>
      </c>
      <c r="AF28" s="736">
        <v>8431.1468601284596</v>
      </c>
      <c r="AG28" s="732">
        <v>31312.221164355902</v>
      </c>
      <c r="AH28" s="737">
        <v>51319.36909411956</v>
      </c>
      <c r="AI28" s="598"/>
      <c r="AJ28" s="778">
        <f>+W28+X28+Y28+W35+X35+Y35</f>
        <v>164007.23214207537</v>
      </c>
      <c r="AK28" s="778">
        <f t="shared" si="2"/>
        <v>190282.96889975373</v>
      </c>
      <c r="AL28" s="727">
        <f t="shared" si="3"/>
        <v>154241.23552971921</v>
      </c>
      <c r="AM28" s="627">
        <f t="shared" si="4"/>
        <v>169631.52758331125</v>
      </c>
    </row>
    <row r="29" spans="1:51" x14ac:dyDescent="0.3">
      <c r="A29" s="1146"/>
      <c r="B29" s="1149"/>
      <c r="C29" s="1149"/>
      <c r="D29" s="1149"/>
      <c r="E29" s="1149"/>
      <c r="F29" s="1155"/>
      <c r="G29" s="1160" t="s">
        <v>104</v>
      </c>
      <c r="H29" s="1161"/>
      <c r="I29" s="1162"/>
      <c r="J29" s="1163" t="s">
        <v>104</v>
      </c>
      <c r="K29" s="1161"/>
      <c r="L29" s="1164"/>
      <c r="M29" s="598"/>
      <c r="Q29" s="1146"/>
      <c r="R29" s="1170"/>
      <c r="S29" s="1149"/>
      <c r="T29" s="1174" t="s">
        <v>42</v>
      </c>
      <c r="U29" s="1174" t="s">
        <v>124</v>
      </c>
      <c r="V29" s="734" t="s">
        <v>122</v>
      </c>
      <c r="W29" s="738">
        <v>4384.3686988719437</v>
      </c>
      <c r="X29" s="731">
        <v>7917.0580498544605</v>
      </c>
      <c r="Y29" s="739">
        <v>4451.7938885879848</v>
      </c>
      <c r="Z29" s="738">
        <v>5439.5073682059419</v>
      </c>
      <c r="AA29" s="731">
        <v>7915.9337015840074</v>
      </c>
      <c r="AB29" s="739">
        <v>2927.829130814755</v>
      </c>
      <c r="AC29" s="738">
        <v>4577.965362325247</v>
      </c>
      <c r="AD29" s="731">
        <v>5063.5327745562181</v>
      </c>
      <c r="AE29" s="739">
        <v>2507.5340403350801</v>
      </c>
      <c r="AF29" s="738">
        <v>2465.8627982373268</v>
      </c>
      <c r="AG29" s="731">
        <v>3338.3622352756088</v>
      </c>
      <c r="AH29" s="739">
        <v>5033.3302078213528</v>
      </c>
      <c r="AI29" s="598"/>
      <c r="AJ29" s="727"/>
    </row>
    <row r="30" spans="1:51" x14ac:dyDescent="0.3">
      <c r="A30" s="1146"/>
      <c r="B30" s="1149"/>
      <c r="C30" s="1149"/>
      <c r="D30" s="1149"/>
      <c r="E30" s="1149"/>
      <c r="F30" s="1155"/>
      <c r="G30" s="781" t="s">
        <v>92</v>
      </c>
      <c r="H30" s="784" t="s">
        <v>6</v>
      </c>
      <c r="I30" s="784" t="s">
        <v>93</v>
      </c>
      <c r="J30" s="784" t="s">
        <v>92</v>
      </c>
      <c r="K30" s="784" t="s">
        <v>6</v>
      </c>
      <c r="L30" s="782" t="s">
        <v>93</v>
      </c>
      <c r="M30" s="598"/>
      <c r="Q30" s="1146"/>
      <c r="R30" s="1170"/>
      <c r="S30" s="1149"/>
      <c r="T30" s="1149"/>
      <c r="U30" s="1149"/>
      <c r="V30" s="733" t="s">
        <v>123</v>
      </c>
      <c r="W30" s="736">
        <v>11496.901186677072</v>
      </c>
      <c r="X30" s="732">
        <v>32922.895927098798</v>
      </c>
      <c r="Y30" s="737">
        <v>14402.615987310459</v>
      </c>
      <c r="Z30" s="736">
        <v>15719.530425144212</v>
      </c>
      <c r="AA30" s="732">
        <v>22182.448902968255</v>
      </c>
      <c r="AB30" s="737">
        <v>8234.5204938335482</v>
      </c>
      <c r="AC30" s="736">
        <v>10989.475888950874</v>
      </c>
      <c r="AD30" s="732">
        <v>17040.173998105445</v>
      </c>
      <c r="AE30" s="737">
        <v>11328.781168091413</v>
      </c>
      <c r="AF30" s="736">
        <v>12423.603822349363</v>
      </c>
      <c r="AG30" s="732">
        <v>21452.271510725477</v>
      </c>
      <c r="AH30" s="737">
        <v>9767.617795752285</v>
      </c>
      <c r="AI30" s="598"/>
      <c r="AJ30" s="598"/>
    </row>
    <row r="31" spans="1:51" ht="15.75" customHeight="1" thickBot="1" x14ac:dyDescent="0.35">
      <c r="A31" s="1147"/>
      <c r="B31" s="1151"/>
      <c r="C31" s="1151"/>
      <c r="D31" s="1151"/>
      <c r="E31" s="1151"/>
      <c r="F31" s="1156"/>
      <c r="G31" s="587" t="s">
        <v>40</v>
      </c>
      <c r="H31" s="588" t="s">
        <v>40</v>
      </c>
      <c r="I31" s="588" t="s">
        <v>40</v>
      </c>
      <c r="J31" s="588" t="s">
        <v>40</v>
      </c>
      <c r="K31" s="588" t="s">
        <v>40</v>
      </c>
      <c r="L31" s="589" t="s">
        <v>40</v>
      </c>
      <c r="M31" s="598"/>
      <c r="Q31" s="1146"/>
      <c r="R31" s="1170"/>
      <c r="S31" s="1149"/>
      <c r="T31" s="1149"/>
      <c r="U31" s="1149"/>
      <c r="V31" s="733" t="s">
        <v>125</v>
      </c>
      <c r="W31" s="736">
        <v>16599.781579642309</v>
      </c>
      <c r="X31" s="732">
        <v>17687.249758899183</v>
      </c>
      <c r="Y31" s="737">
        <v>9476.2552053332947</v>
      </c>
      <c r="Z31" s="736">
        <v>9885.3463206343731</v>
      </c>
      <c r="AA31" s="732">
        <v>16084.420290464057</v>
      </c>
      <c r="AB31" s="737">
        <v>4814.192098106334</v>
      </c>
      <c r="AC31" s="736">
        <v>12554.932874094995</v>
      </c>
      <c r="AD31" s="732">
        <v>14399.355448635411</v>
      </c>
      <c r="AE31" s="737">
        <v>5436.1927389436205</v>
      </c>
      <c r="AF31" s="736">
        <v>11345.740021777319</v>
      </c>
      <c r="AG31" s="732">
        <v>15155.485146759198</v>
      </c>
      <c r="AH31" s="737">
        <v>11800.775281405398</v>
      </c>
      <c r="AI31" s="598"/>
      <c r="AJ31" s="598"/>
    </row>
    <row r="32" spans="1:51" ht="15" thickBot="1" x14ac:dyDescent="0.35">
      <c r="A32" s="1145" t="s">
        <v>160</v>
      </c>
      <c r="B32" s="1184" t="s">
        <v>122</v>
      </c>
      <c r="C32" s="1184" t="s">
        <v>130</v>
      </c>
      <c r="D32" s="1184" t="s">
        <v>43</v>
      </c>
      <c r="E32" s="1184" t="s">
        <v>124</v>
      </c>
      <c r="F32" s="862" t="s">
        <v>122</v>
      </c>
      <c r="G32" s="863">
        <v>6827.8855984575257</v>
      </c>
      <c r="H32" s="864">
        <v>16626.056123868806</v>
      </c>
      <c r="I32" s="864">
        <v>50368.509352017587</v>
      </c>
      <c r="J32" s="864">
        <v>4417.604304396712</v>
      </c>
      <c r="K32" s="864">
        <v>18751.010711289611</v>
      </c>
      <c r="L32" s="865">
        <v>48482.748994052316</v>
      </c>
      <c r="M32" s="598"/>
      <c r="Q32" s="1146"/>
      <c r="R32" s="1170"/>
      <c r="S32" s="1149"/>
      <c r="T32" s="1149"/>
      <c r="U32" s="1149"/>
      <c r="V32" s="733" t="s">
        <v>126</v>
      </c>
      <c r="W32" s="736">
        <v>19898.850155490123</v>
      </c>
      <c r="X32" s="732">
        <v>21527.439782733956</v>
      </c>
      <c r="Y32" s="737">
        <v>13410.625132839295</v>
      </c>
      <c r="Z32" s="736">
        <v>18840.705259711151</v>
      </c>
      <c r="AA32" s="732">
        <v>27919.24874196943</v>
      </c>
      <c r="AB32" s="737">
        <v>10364.978181144033</v>
      </c>
      <c r="AC32" s="736">
        <v>13318.15466199959</v>
      </c>
      <c r="AD32" s="732">
        <v>24313.960143186003</v>
      </c>
      <c r="AE32" s="737">
        <v>10907.331242117827</v>
      </c>
      <c r="AF32" s="736">
        <v>15937.153393157338</v>
      </c>
      <c r="AG32" s="732">
        <v>21846.115744142931</v>
      </c>
      <c r="AH32" s="737">
        <v>13898.00895659836</v>
      </c>
      <c r="AI32" s="598"/>
      <c r="AJ32" s="626"/>
      <c r="AK32" s="626"/>
      <c r="AL32" s="626"/>
    </row>
    <row r="33" spans="1:38" x14ac:dyDescent="0.3">
      <c r="A33" s="1146"/>
      <c r="B33" s="1185"/>
      <c r="C33" s="1185"/>
      <c r="D33" s="1185"/>
      <c r="E33" s="1185"/>
      <c r="F33" s="723" t="s">
        <v>123</v>
      </c>
      <c r="G33" s="724">
        <v>6528.3463426118051</v>
      </c>
      <c r="H33" s="725">
        <v>63403.829843216168</v>
      </c>
      <c r="I33" s="725">
        <v>130859.6390258684</v>
      </c>
      <c r="J33" s="725">
        <v>12682.562111394183</v>
      </c>
      <c r="K33" s="725">
        <v>56197.114284605552</v>
      </c>
      <c r="L33" s="726">
        <v>123382.34037670404</v>
      </c>
      <c r="M33" s="598"/>
      <c r="Q33" s="1146"/>
      <c r="R33" s="1170"/>
      <c r="S33" s="1149"/>
      <c r="T33" s="1149"/>
      <c r="U33" s="1149"/>
      <c r="V33" s="733" t="s">
        <v>127</v>
      </c>
      <c r="W33" s="736">
        <v>19708.775079578107</v>
      </c>
      <c r="X33" s="732">
        <v>27285.571471198487</v>
      </c>
      <c r="Y33" s="737">
        <v>13038.10021699814</v>
      </c>
      <c r="Z33" s="736">
        <v>23471.762112806853</v>
      </c>
      <c r="AA33" s="732">
        <v>33794.831824278292</v>
      </c>
      <c r="AB33" s="737">
        <v>17485.760981890406</v>
      </c>
      <c r="AC33" s="736">
        <v>19761.443955559564</v>
      </c>
      <c r="AD33" s="732">
        <v>29781.846834368564</v>
      </c>
      <c r="AE33" s="737">
        <v>11669.581331970863</v>
      </c>
      <c r="AF33" s="736">
        <v>21895.089936072745</v>
      </c>
      <c r="AG33" s="732">
        <v>36392.465295726128</v>
      </c>
      <c r="AH33" s="737">
        <v>13604.52649257755</v>
      </c>
      <c r="AI33" s="598"/>
      <c r="AJ33" s="626"/>
      <c r="AK33" s="626"/>
      <c r="AL33" s="626"/>
    </row>
    <row r="34" spans="1:38" x14ac:dyDescent="0.3">
      <c r="A34" s="1146"/>
      <c r="B34" s="1185"/>
      <c r="C34" s="1185"/>
      <c r="D34" s="1185"/>
      <c r="E34" s="1185"/>
      <c r="F34" s="723" t="s">
        <v>125</v>
      </c>
      <c r="G34" s="724">
        <v>11249.335139879811</v>
      </c>
      <c r="H34" s="725">
        <v>63290.446541880236</v>
      </c>
      <c r="I34" s="725">
        <v>74546.162472389144</v>
      </c>
      <c r="J34" s="725">
        <v>7892.6956541521831</v>
      </c>
      <c r="K34" s="725">
        <v>57311.009678478782</v>
      </c>
      <c r="L34" s="726">
        <v>90159.125386589221</v>
      </c>
      <c r="M34" s="598"/>
      <c r="Q34" s="1146"/>
      <c r="R34" s="1170"/>
      <c r="S34" s="1149"/>
      <c r="T34" s="1149"/>
      <c r="U34" s="1149"/>
      <c r="V34" s="733" t="s">
        <v>128</v>
      </c>
      <c r="W34" s="736">
        <v>20185.809968461152</v>
      </c>
      <c r="X34" s="732">
        <v>26260.298893835286</v>
      </c>
      <c r="Y34" s="737">
        <v>8783.7884675680671</v>
      </c>
      <c r="Z34" s="736">
        <v>23334.689188280845</v>
      </c>
      <c r="AA34" s="732">
        <v>30501.88991251044</v>
      </c>
      <c r="AB34" s="737">
        <v>9289.7423912011654</v>
      </c>
      <c r="AC34" s="736">
        <v>19538.731037114823</v>
      </c>
      <c r="AD34" s="732">
        <v>22800.766442697121</v>
      </c>
      <c r="AE34" s="737">
        <v>12170.967560954143</v>
      </c>
      <c r="AF34" s="736">
        <v>20622.977336763644</v>
      </c>
      <c r="AG34" s="732">
        <v>21810.452642121429</v>
      </c>
      <c r="AH34" s="737">
        <v>12751.763911000859</v>
      </c>
      <c r="AI34" s="598"/>
      <c r="AJ34" s="598"/>
    </row>
    <row r="35" spans="1:38" ht="15" thickBot="1" x14ac:dyDescent="0.35">
      <c r="A35" s="1146"/>
      <c r="B35" s="1185"/>
      <c r="C35" s="1185"/>
      <c r="D35" s="1185"/>
      <c r="E35" s="1185"/>
      <c r="F35" s="723" t="s">
        <v>126</v>
      </c>
      <c r="G35" s="724">
        <v>13172.052441912867</v>
      </c>
      <c r="H35" s="725">
        <v>84053.359583872443</v>
      </c>
      <c r="I35" s="725">
        <v>124668.43293257149</v>
      </c>
      <c r="J35" s="725">
        <v>11128.055287158273</v>
      </c>
      <c r="K35" s="725">
        <v>90231.584755661563</v>
      </c>
      <c r="L35" s="726">
        <v>141335.67609288124</v>
      </c>
      <c r="M35" s="598"/>
      <c r="Q35" s="1146"/>
      <c r="R35" s="1171"/>
      <c r="S35" s="1173"/>
      <c r="T35" s="1173"/>
      <c r="U35" s="1173"/>
      <c r="V35" s="749" t="s">
        <v>129</v>
      </c>
      <c r="W35" s="740">
        <v>29733.341667313027</v>
      </c>
      <c r="X35" s="741">
        <v>33091.462789726007</v>
      </c>
      <c r="Y35" s="742">
        <v>11964.732679392611</v>
      </c>
      <c r="Z35" s="740">
        <v>32207.511930836627</v>
      </c>
      <c r="AA35" s="741">
        <v>38451.666411780658</v>
      </c>
      <c r="AB35" s="742">
        <v>14677.838165275276</v>
      </c>
      <c r="AC35" s="740">
        <v>26804.157414767844</v>
      </c>
      <c r="AD35" s="741">
        <v>36639.850384659032</v>
      </c>
      <c r="AE35" s="742">
        <v>9240.6637956996037</v>
      </c>
      <c r="AF35" s="740">
        <v>27612.546095574333</v>
      </c>
      <c r="AG35" s="741">
        <v>40960.094791526913</v>
      </c>
      <c r="AH35" s="742">
        <v>9996.1495776060983</v>
      </c>
      <c r="AI35" s="598"/>
      <c r="AJ35" s="598"/>
    </row>
    <row r="36" spans="1:38" ht="15.75" customHeight="1" thickBot="1" x14ac:dyDescent="0.35">
      <c r="A36" s="1146"/>
      <c r="B36" s="1185"/>
      <c r="C36" s="1185"/>
      <c r="D36" s="1185"/>
      <c r="E36" s="1185"/>
      <c r="F36" s="723" t="s">
        <v>127</v>
      </c>
      <c r="G36" s="724">
        <v>18059.68776476528</v>
      </c>
      <c r="H36" s="725">
        <v>93953.660082458577</v>
      </c>
      <c r="I36" s="725">
        <v>153138.09417260604</v>
      </c>
      <c r="J36" s="725">
        <v>22880.931100573103</v>
      </c>
      <c r="K36" s="725">
        <v>110095.42307353404</v>
      </c>
      <c r="L36" s="726">
        <v>149953.59216572274</v>
      </c>
      <c r="M36" s="598"/>
      <c r="Q36" s="1146"/>
      <c r="R36" s="1150" t="s">
        <v>43</v>
      </c>
      <c r="S36" s="1150" t="s">
        <v>130</v>
      </c>
      <c r="T36" s="1174" t="s">
        <v>157</v>
      </c>
      <c r="U36" s="1174" t="s">
        <v>124</v>
      </c>
      <c r="V36" s="590" t="s">
        <v>122</v>
      </c>
      <c r="W36" s="591">
        <v>0</v>
      </c>
      <c r="X36" s="592">
        <v>0</v>
      </c>
      <c r="Y36" s="592">
        <v>514.66490562213778</v>
      </c>
      <c r="Z36" s="592">
        <v>0</v>
      </c>
      <c r="AA36" s="592">
        <v>0</v>
      </c>
      <c r="AB36" s="592">
        <v>903.82880278197922</v>
      </c>
      <c r="AC36" s="592">
        <v>0</v>
      </c>
      <c r="AD36" s="592">
        <v>0</v>
      </c>
      <c r="AE36" s="592">
        <v>598.11606929132256</v>
      </c>
      <c r="AF36" s="592">
        <v>0</v>
      </c>
      <c r="AG36" s="592">
        <v>0</v>
      </c>
      <c r="AH36" s="593">
        <v>0</v>
      </c>
      <c r="AI36" s="598"/>
      <c r="AJ36" s="598"/>
    </row>
    <row r="37" spans="1:38" x14ac:dyDescent="0.3">
      <c r="A37" s="1146"/>
      <c r="B37" s="1185"/>
      <c r="C37" s="1185"/>
      <c r="D37" s="1185"/>
      <c r="E37" s="1185"/>
      <c r="F37" s="723" t="s">
        <v>128</v>
      </c>
      <c r="G37" s="724">
        <v>11729.205809122739</v>
      </c>
      <c r="H37" s="725">
        <v>77329.992480336441</v>
      </c>
      <c r="I37" s="725">
        <v>121831.64142719113</v>
      </c>
      <c r="J37" s="725">
        <v>19358.824542381575</v>
      </c>
      <c r="K37" s="725">
        <v>91085.820609308284</v>
      </c>
      <c r="L37" s="726">
        <v>128222.30264619042</v>
      </c>
      <c r="M37" s="598"/>
      <c r="Q37" s="1146"/>
      <c r="R37" s="1149"/>
      <c r="S37" s="1149"/>
      <c r="T37" s="1149"/>
      <c r="U37" s="1149"/>
      <c r="V37" s="590" t="s">
        <v>123</v>
      </c>
      <c r="W37" s="591">
        <v>0</v>
      </c>
      <c r="X37" s="592">
        <v>0</v>
      </c>
      <c r="Y37" s="592">
        <v>2314.0384569001062</v>
      </c>
      <c r="Z37" s="592">
        <v>0</v>
      </c>
      <c r="AA37" s="592">
        <v>0</v>
      </c>
      <c r="AB37" s="592">
        <v>3531.6311646523741</v>
      </c>
      <c r="AC37" s="592">
        <v>0</v>
      </c>
      <c r="AD37" s="592">
        <v>0</v>
      </c>
      <c r="AE37" s="592">
        <v>2664.9121137933989</v>
      </c>
      <c r="AF37" s="592">
        <v>0</v>
      </c>
      <c r="AG37" s="592">
        <v>0</v>
      </c>
      <c r="AH37" s="593">
        <v>2599.3116543210067</v>
      </c>
      <c r="AI37" s="598"/>
      <c r="AJ37" s="626"/>
      <c r="AK37" s="44"/>
    </row>
    <row r="38" spans="1:38" x14ac:dyDescent="0.3">
      <c r="A38" s="1146"/>
      <c r="B38" s="1185"/>
      <c r="C38" s="1185"/>
      <c r="D38" s="1185"/>
      <c r="E38" s="1185"/>
      <c r="F38" s="723" t="s">
        <v>129</v>
      </c>
      <c r="G38" s="724">
        <v>18836.643630336872</v>
      </c>
      <c r="H38" s="725">
        <v>112341.65655235101</v>
      </c>
      <c r="I38" s="725">
        <v>120545.77652686775</v>
      </c>
      <c r="J38" s="725">
        <v>24765.79815999038</v>
      </c>
      <c r="K38" s="725">
        <v>124708.19003801465</v>
      </c>
      <c r="L38" s="726">
        <v>133851.58351269411</v>
      </c>
      <c r="M38" s="598"/>
      <c r="Q38" s="1146"/>
      <c r="R38" s="1149"/>
      <c r="S38" s="1149"/>
      <c r="T38" s="1149"/>
      <c r="U38" s="1149"/>
      <c r="V38" s="590" t="s">
        <v>125</v>
      </c>
      <c r="W38" s="591">
        <v>0</v>
      </c>
      <c r="X38" s="592">
        <v>806.45664227588202</v>
      </c>
      <c r="Y38" s="592">
        <v>1572.4164160090677</v>
      </c>
      <c r="Z38" s="592">
        <v>0</v>
      </c>
      <c r="AA38" s="592">
        <v>0</v>
      </c>
      <c r="AB38" s="592">
        <v>1668.691035394105</v>
      </c>
      <c r="AC38" s="592">
        <v>0</v>
      </c>
      <c r="AD38" s="592">
        <v>0</v>
      </c>
      <c r="AE38" s="592">
        <v>38.246466632892258</v>
      </c>
      <c r="AF38" s="592">
        <v>0</v>
      </c>
      <c r="AG38" s="592">
        <v>0</v>
      </c>
      <c r="AH38" s="593">
        <v>1492.0526383222686</v>
      </c>
      <c r="AI38" s="598"/>
      <c r="AJ38" s="598"/>
    </row>
    <row r="39" spans="1:38" x14ac:dyDescent="0.3">
      <c r="A39" s="1146"/>
      <c r="B39" s="1185"/>
      <c r="C39" s="1185"/>
      <c r="D39" s="1186" t="s">
        <v>42</v>
      </c>
      <c r="E39" s="1186" t="s">
        <v>124</v>
      </c>
      <c r="F39" s="723" t="s">
        <v>122</v>
      </c>
      <c r="G39" s="724">
        <v>34365.279986218287</v>
      </c>
      <c r="H39" s="725">
        <v>69374.368543499149</v>
      </c>
      <c r="I39" s="725">
        <v>58906.316455788226</v>
      </c>
      <c r="J39" s="725">
        <v>26115.177181341525</v>
      </c>
      <c r="K39" s="725">
        <v>62203.260373733443</v>
      </c>
      <c r="L39" s="726">
        <v>56333.806502254702</v>
      </c>
      <c r="M39" s="598"/>
      <c r="Q39" s="1146"/>
      <c r="R39" s="1149"/>
      <c r="S39" s="1149"/>
      <c r="T39" s="1149"/>
      <c r="U39" s="1149"/>
      <c r="V39" s="590" t="s">
        <v>126</v>
      </c>
      <c r="W39" s="591">
        <v>0</v>
      </c>
      <c r="X39" s="592">
        <v>653.68624237904442</v>
      </c>
      <c r="Y39" s="592">
        <v>2563.7491637790163</v>
      </c>
      <c r="Z39" s="592">
        <v>0</v>
      </c>
      <c r="AA39" s="592">
        <v>789.08838198747458</v>
      </c>
      <c r="AB39" s="592">
        <v>3050.9455758870135</v>
      </c>
      <c r="AC39" s="592">
        <v>0</v>
      </c>
      <c r="AD39" s="592">
        <v>724.75935769896887</v>
      </c>
      <c r="AE39" s="592">
        <v>3300.5401386263934</v>
      </c>
      <c r="AF39" s="592">
        <v>0</v>
      </c>
      <c r="AG39" s="592">
        <v>0</v>
      </c>
      <c r="AH39" s="593">
        <v>1500.7582690485528</v>
      </c>
      <c r="AI39" s="598"/>
      <c r="AJ39" s="598"/>
    </row>
    <row r="40" spans="1:38" x14ac:dyDescent="0.3">
      <c r="A40" s="1146"/>
      <c r="B40" s="1185"/>
      <c r="C40" s="1185"/>
      <c r="D40" s="1185"/>
      <c r="E40" s="1185"/>
      <c r="F40" s="723" t="s">
        <v>123</v>
      </c>
      <c r="G40" s="724">
        <v>99189.721615987102</v>
      </c>
      <c r="H40" s="725">
        <v>203549.75612674752</v>
      </c>
      <c r="I40" s="725">
        <v>138883.88390780307</v>
      </c>
      <c r="J40" s="725">
        <v>106249.05045717208</v>
      </c>
      <c r="K40" s="725">
        <v>213972.28368773902</v>
      </c>
      <c r="L40" s="726">
        <v>151853.55630893225</v>
      </c>
      <c r="M40" s="598"/>
      <c r="Q40" s="1146"/>
      <c r="R40" s="1149"/>
      <c r="S40" s="1149"/>
      <c r="T40" s="1149"/>
      <c r="U40" s="1149"/>
      <c r="V40" s="590" t="s">
        <v>127</v>
      </c>
      <c r="W40" s="591">
        <v>0</v>
      </c>
      <c r="X40" s="592">
        <v>507.54256761120962</v>
      </c>
      <c r="Y40" s="592">
        <v>3617.0607181229416</v>
      </c>
      <c r="Z40" s="592">
        <v>0</v>
      </c>
      <c r="AA40" s="592">
        <v>0</v>
      </c>
      <c r="AB40" s="592">
        <v>4411.4658286566055</v>
      </c>
      <c r="AC40" s="592">
        <v>0</v>
      </c>
      <c r="AD40" s="592">
        <v>1156.7091482828832</v>
      </c>
      <c r="AE40" s="592">
        <v>1046.3526743804814</v>
      </c>
      <c r="AF40" s="592">
        <v>0</v>
      </c>
      <c r="AG40" s="592">
        <v>0</v>
      </c>
      <c r="AH40" s="593">
        <v>3269.9195042423835</v>
      </c>
      <c r="AI40" s="598"/>
      <c r="AJ40" s="598"/>
    </row>
    <row r="41" spans="1:38" x14ac:dyDescent="0.3">
      <c r="A41" s="1146"/>
      <c r="B41" s="1185"/>
      <c r="C41" s="1185"/>
      <c r="D41" s="1185"/>
      <c r="E41" s="1185"/>
      <c r="F41" s="723" t="s">
        <v>125</v>
      </c>
      <c r="G41" s="724">
        <v>112774.29102870454</v>
      </c>
      <c r="H41" s="725">
        <v>183761.36005052881</v>
      </c>
      <c r="I41" s="725">
        <v>88447.3039238403</v>
      </c>
      <c r="J41" s="725">
        <v>78092.694354030755</v>
      </c>
      <c r="K41" s="725">
        <v>178434.70836329291</v>
      </c>
      <c r="L41" s="726">
        <v>105657.07699430555</v>
      </c>
      <c r="M41" s="598"/>
      <c r="Q41" s="1146"/>
      <c r="R41" s="1149"/>
      <c r="S41" s="1149"/>
      <c r="T41" s="1149"/>
      <c r="U41" s="1149"/>
      <c r="V41" s="590" t="s">
        <v>128</v>
      </c>
      <c r="W41" s="591">
        <v>1100.4452748695655</v>
      </c>
      <c r="X41" s="592">
        <v>0</v>
      </c>
      <c r="Y41" s="592">
        <v>637.06781894708047</v>
      </c>
      <c r="Z41" s="592">
        <v>407.558003232364</v>
      </c>
      <c r="AA41" s="592">
        <v>0</v>
      </c>
      <c r="AB41" s="592">
        <v>1268.296316269561</v>
      </c>
      <c r="AC41" s="592">
        <v>0</v>
      </c>
      <c r="AD41" s="592">
        <v>0</v>
      </c>
      <c r="AE41" s="592">
        <v>1297.5929730005266</v>
      </c>
      <c r="AF41" s="592">
        <v>442.07785637083703</v>
      </c>
      <c r="AG41" s="592">
        <v>0</v>
      </c>
      <c r="AH41" s="593">
        <v>1780.7828112484108</v>
      </c>
      <c r="AI41" s="598"/>
      <c r="AJ41" s="598"/>
    </row>
    <row r="42" spans="1:38" x14ac:dyDescent="0.3">
      <c r="A42" s="1146"/>
      <c r="B42" s="1185"/>
      <c r="C42" s="1185"/>
      <c r="D42" s="1185"/>
      <c r="E42" s="1185"/>
      <c r="F42" s="723" t="s">
        <v>126</v>
      </c>
      <c r="G42" s="724">
        <v>130786.60065597539</v>
      </c>
      <c r="H42" s="725">
        <v>252461.169905786</v>
      </c>
      <c r="I42" s="725">
        <v>152029.25884063169</v>
      </c>
      <c r="J42" s="725">
        <v>143653.24906673247</v>
      </c>
      <c r="K42" s="725">
        <v>246852.26518841353</v>
      </c>
      <c r="L42" s="726">
        <v>146429.22873211341</v>
      </c>
      <c r="M42" s="598"/>
      <c r="Q42" s="1146"/>
      <c r="R42" s="1149"/>
      <c r="S42" s="1149"/>
      <c r="T42" s="1149"/>
      <c r="U42" s="1149"/>
      <c r="V42" s="590" t="s">
        <v>129</v>
      </c>
      <c r="W42" s="591">
        <v>0</v>
      </c>
      <c r="X42" s="592">
        <v>0</v>
      </c>
      <c r="Y42" s="592">
        <v>4464.3810541800394</v>
      </c>
      <c r="Z42" s="592">
        <v>0</v>
      </c>
      <c r="AA42" s="592">
        <v>0</v>
      </c>
      <c r="AB42" s="592">
        <v>3519.0050315092426</v>
      </c>
      <c r="AC42" s="592">
        <v>0</v>
      </c>
      <c r="AD42" s="592">
        <v>286.43410416603501</v>
      </c>
      <c r="AE42" s="592">
        <v>1872.2203818290759</v>
      </c>
      <c r="AF42" s="592">
        <v>0</v>
      </c>
      <c r="AG42" s="592">
        <v>0</v>
      </c>
      <c r="AH42" s="593">
        <v>2963.3047685777788</v>
      </c>
      <c r="AI42" s="598"/>
      <c r="AJ42" s="598"/>
    </row>
    <row r="43" spans="1:38" ht="15" thickBot="1" x14ac:dyDescent="0.35">
      <c r="A43" s="1146"/>
      <c r="B43" s="1185"/>
      <c r="C43" s="1185"/>
      <c r="D43" s="1185"/>
      <c r="E43" s="1185"/>
      <c r="F43" s="723" t="s">
        <v>127</v>
      </c>
      <c r="G43" s="724">
        <v>179611.98851143933</v>
      </c>
      <c r="H43" s="725">
        <v>283980.13665573037</v>
      </c>
      <c r="I43" s="725">
        <v>191601.30678155785</v>
      </c>
      <c r="J43" s="725">
        <v>194200.55969831499</v>
      </c>
      <c r="K43" s="725">
        <v>296452.30872450204</v>
      </c>
      <c r="L43" s="726">
        <v>183916.89838314336</v>
      </c>
      <c r="M43" s="598"/>
      <c r="Q43" s="1146"/>
      <c r="R43" s="1149"/>
      <c r="S43" s="1149"/>
      <c r="T43" s="1150" t="s">
        <v>43</v>
      </c>
      <c r="U43" s="1150" t="s">
        <v>124</v>
      </c>
      <c r="V43" s="590" t="s">
        <v>125</v>
      </c>
      <c r="W43" s="591">
        <v>0</v>
      </c>
      <c r="X43" s="592">
        <v>0</v>
      </c>
      <c r="Y43" s="592">
        <v>240.05089791332034</v>
      </c>
      <c r="Z43" s="592">
        <v>0</v>
      </c>
      <c r="AA43" s="592">
        <v>0</v>
      </c>
      <c r="AB43" s="592">
        <v>0</v>
      </c>
      <c r="AC43" s="592">
        <v>0</v>
      </c>
      <c r="AD43" s="592">
        <v>0</v>
      </c>
      <c r="AE43" s="592">
        <v>0</v>
      </c>
      <c r="AF43" s="592">
        <v>0</v>
      </c>
      <c r="AG43" s="592">
        <v>0</v>
      </c>
      <c r="AH43" s="593">
        <v>0</v>
      </c>
      <c r="AI43" s="598"/>
      <c r="AJ43" s="598"/>
      <c r="AK43" s="44"/>
      <c r="AL43" s="44"/>
    </row>
    <row r="44" spans="1:38" ht="15" thickBot="1" x14ac:dyDescent="0.35">
      <c r="A44" s="1146"/>
      <c r="B44" s="1185"/>
      <c r="C44" s="1185"/>
      <c r="D44" s="1185"/>
      <c r="E44" s="1185"/>
      <c r="F44" s="723" t="s">
        <v>128</v>
      </c>
      <c r="G44" s="724">
        <v>170018.40511766306</v>
      </c>
      <c r="H44" s="725">
        <v>259160.30997539454</v>
      </c>
      <c r="I44" s="725">
        <v>120847.60417730406</v>
      </c>
      <c r="J44" s="725">
        <v>183762.89725201076</v>
      </c>
      <c r="K44" s="725">
        <v>306484.42578810314</v>
      </c>
      <c r="L44" s="726">
        <v>134631.08257359808</v>
      </c>
      <c r="M44" s="598"/>
      <c r="Q44" s="1147"/>
      <c r="R44" s="1151"/>
      <c r="S44" s="1151"/>
      <c r="T44" s="1151"/>
      <c r="U44" s="1151"/>
      <c r="V44" s="594" t="s">
        <v>129</v>
      </c>
      <c r="W44" s="595">
        <v>0</v>
      </c>
      <c r="X44" s="596">
        <v>0</v>
      </c>
      <c r="Y44" s="596">
        <v>100.55027329424516</v>
      </c>
      <c r="Z44" s="596">
        <v>0</v>
      </c>
      <c r="AA44" s="596">
        <v>0</v>
      </c>
      <c r="AB44" s="596">
        <v>922.2436668259694</v>
      </c>
      <c r="AC44" s="596">
        <v>0</v>
      </c>
      <c r="AD44" s="596">
        <v>0</v>
      </c>
      <c r="AE44" s="596">
        <v>0</v>
      </c>
      <c r="AF44" s="596">
        <v>0</v>
      </c>
      <c r="AG44" s="596">
        <v>0</v>
      </c>
      <c r="AH44" s="597">
        <v>0</v>
      </c>
      <c r="AI44" s="598"/>
      <c r="AJ44" s="598"/>
    </row>
    <row r="45" spans="1:38" x14ac:dyDescent="0.3">
      <c r="A45" s="1146"/>
      <c r="B45" s="1185"/>
      <c r="C45" s="1185"/>
      <c r="D45" s="1185"/>
      <c r="E45" s="1185"/>
      <c r="F45" s="723" t="s">
        <v>129</v>
      </c>
      <c r="G45" s="724">
        <v>268764.21473780397</v>
      </c>
      <c r="H45" s="725">
        <v>297734.79340457259</v>
      </c>
      <c r="I45" s="725">
        <v>129147.75070050445</v>
      </c>
      <c r="J45" s="725">
        <v>307497.56309581309</v>
      </c>
      <c r="K45" s="725">
        <v>341859.64797578548</v>
      </c>
      <c r="L45" s="726">
        <v>137414.72015388368</v>
      </c>
      <c r="M45" s="598"/>
      <c r="AK45" s="44"/>
      <c r="AL45" s="44"/>
    </row>
    <row r="46" spans="1:38" ht="15" thickBot="1" x14ac:dyDescent="0.35">
      <c r="A46" s="1146"/>
      <c r="B46" s="1150" t="s">
        <v>123</v>
      </c>
      <c r="C46" s="1150" t="s">
        <v>130</v>
      </c>
      <c r="D46" s="1174" t="s">
        <v>157</v>
      </c>
      <c r="E46" s="1174" t="s">
        <v>124</v>
      </c>
      <c r="F46" s="590" t="s">
        <v>122</v>
      </c>
      <c r="G46" s="591">
        <v>0</v>
      </c>
      <c r="H46" s="592">
        <v>0</v>
      </c>
      <c r="I46" s="592">
        <v>1584.116537098299</v>
      </c>
      <c r="J46" s="592">
        <v>0</v>
      </c>
      <c r="K46" s="592">
        <v>0</v>
      </c>
      <c r="L46" s="593">
        <v>0</v>
      </c>
      <c r="M46" s="598"/>
      <c r="W46" s="44">
        <f>SUM(W23:W28,W30:W35,Z23:Z28,Z30:Z35,AC23:AC28,AC30:AC35,AF23:AF28,AF30:AF35)</f>
        <v>558128.75710917055</v>
      </c>
      <c r="X46" s="44">
        <f t="shared" ref="X46:Y46" si="7">SUM(X23:X28,X30:X35,AA23:AA28,AA30:AA35,AD23:AD28,AD30:AD35,AG23:AG28,AG30:AG35)</f>
        <v>1264018.418836969</v>
      </c>
      <c r="Y46" s="44">
        <f t="shared" si="7"/>
        <v>1486793.9261683607</v>
      </c>
      <c r="AK46" s="44"/>
      <c r="AL46" s="44"/>
    </row>
    <row r="47" spans="1:38" x14ac:dyDescent="0.3">
      <c r="A47" s="1146"/>
      <c r="B47" s="1149"/>
      <c r="C47" s="1149"/>
      <c r="D47" s="1149"/>
      <c r="E47" s="1149"/>
      <c r="F47" s="590" t="s">
        <v>123</v>
      </c>
      <c r="G47" s="591">
        <v>0</v>
      </c>
      <c r="H47" s="592">
        <v>1787.1412847602292</v>
      </c>
      <c r="I47" s="592">
        <v>2784.5762698974067</v>
      </c>
      <c r="J47" s="592">
        <v>741.88153681971073</v>
      </c>
      <c r="K47" s="592">
        <v>1797.9311010573188</v>
      </c>
      <c r="L47" s="593">
        <v>5921.9562559035312</v>
      </c>
      <c r="M47" s="598"/>
      <c r="W47" s="44"/>
      <c r="X47" s="44"/>
      <c r="Y47" s="44"/>
    </row>
    <row r="48" spans="1:38" x14ac:dyDescent="0.3">
      <c r="A48" s="1146"/>
      <c r="B48" s="1149"/>
      <c r="C48" s="1149"/>
      <c r="D48" s="1149"/>
      <c r="E48" s="1149"/>
      <c r="F48" s="590" t="s">
        <v>125</v>
      </c>
      <c r="G48" s="591">
        <v>0</v>
      </c>
      <c r="H48" s="592">
        <v>0</v>
      </c>
      <c r="I48" s="592">
        <v>1187.8456538656667</v>
      </c>
      <c r="J48" s="592">
        <v>0</v>
      </c>
      <c r="K48" s="592">
        <v>0</v>
      </c>
      <c r="L48" s="593">
        <v>448.57358083447326</v>
      </c>
      <c r="M48" s="598"/>
      <c r="W48" s="44">
        <f>SUM(Z23:Z28,Z30:Z35,AF23:AF28,AF30:AF35)</f>
        <v>286741.74430024758</v>
      </c>
      <c r="X48" s="44">
        <f t="shared" ref="X48:Y48" si="8">SUM(AA23:AA28,AA30:AA35,AG23:AG28,AG30:AG35)</f>
        <v>662374.56748772284</v>
      </c>
      <c r="Y48" s="44">
        <f t="shared" si="8"/>
        <v>771148.54236937594</v>
      </c>
      <c r="Z48" s="44"/>
      <c r="AA48" s="325">
        <f>SUM(W23:W28,W30:W35,AC23:AC28,AC30:AC35)</f>
        <v>271387.01280892285</v>
      </c>
      <c r="AB48" s="325">
        <f t="shared" ref="AB48:AC48" si="9">SUM(X23:X28,X30:X35,AD23:AD28,AD30:AD35)</f>
        <v>601643.85134924564</v>
      </c>
      <c r="AC48" s="325">
        <f t="shared" si="9"/>
        <v>715645.38379898481</v>
      </c>
    </row>
    <row r="49" spans="1:26" x14ac:dyDescent="0.3">
      <c r="A49" s="1146"/>
      <c r="B49" s="1149"/>
      <c r="C49" s="1149"/>
      <c r="D49" s="1149"/>
      <c r="E49" s="1149"/>
      <c r="F49" s="590" t="s">
        <v>126</v>
      </c>
      <c r="G49" s="591">
        <v>0</v>
      </c>
      <c r="H49" s="592">
        <v>879.76530992765174</v>
      </c>
      <c r="I49" s="592">
        <v>4480.362924324314</v>
      </c>
      <c r="J49" s="592">
        <v>0</v>
      </c>
      <c r="K49" s="592">
        <v>3808.5522179275758</v>
      </c>
      <c r="L49" s="593">
        <v>3552.182550150148</v>
      </c>
      <c r="M49" s="598"/>
      <c r="W49" s="44"/>
      <c r="X49" s="44"/>
      <c r="Y49" s="44"/>
      <c r="Z49" s="44"/>
    </row>
    <row r="50" spans="1:26" x14ac:dyDescent="0.3">
      <c r="A50" s="1146"/>
      <c r="B50" s="1149"/>
      <c r="C50" s="1149"/>
      <c r="D50" s="1149"/>
      <c r="E50" s="1149"/>
      <c r="F50" s="590" t="s">
        <v>127</v>
      </c>
      <c r="G50" s="591">
        <v>0</v>
      </c>
      <c r="H50" s="592">
        <v>640.17313482088878</v>
      </c>
      <c r="I50" s="592">
        <v>9913.1202540885624</v>
      </c>
      <c r="J50" s="592">
        <v>0</v>
      </c>
      <c r="K50" s="592">
        <v>758.18484768918358</v>
      </c>
      <c r="L50" s="593">
        <v>3599.5123824491493</v>
      </c>
      <c r="M50" s="598"/>
      <c r="W50" s="44"/>
      <c r="X50" s="44"/>
      <c r="Y50" s="44"/>
      <c r="Z50" s="44"/>
    </row>
    <row r="51" spans="1:26" x14ac:dyDescent="0.3">
      <c r="A51" s="1146"/>
      <c r="B51" s="1149"/>
      <c r="C51" s="1149"/>
      <c r="D51" s="1149"/>
      <c r="E51" s="1149"/>
      <c r="F51" s="590" t="s">
        <v>128</v>
      </c>
      <c r="G51" s="591">
        <v>0</v>
      </c>
      <c r="H51" s="592">
        <v>0</v>
      </c>
      <c r="I51" s="592">
        <v>4062.0145342201358</v>
      </c>
      <c r="J51" s="592">
        <v>1172.6755602987528</v>
      </c>
      <c r="K51" s="592">
        <v>0</v>
      </c>
      <c r="L51" s="593">
        <v>1008.3453662458548</v>
      </c>
      <c r="M51" s="598"/>
      <c r="W51" s="44"/>
      <c r="X51" s="44"/>
      <c r="Y51" s="44"/>
    </row>
    <row r="52" spans="1:26" x14ac:dyDescent="0.3">
      <c r="A52" s="1146"/>
      <c r="B52" s="1149"/>
      <c r="C52" s="1149"/>
      <c r="D52" s="1149"/>
      <c r="E52" s="1149"/>
      <c r="F52" s="590" t="s">
        <v>129</v>
      </c>
      <c r="G52" s="591">
        <v>0</v>
      </c>
      <c r="H52" s="592">
        <v>1377.70797764136</v>
      </c>
      <c r="I52" s="592">
        <v>3603.6816778347038</v>
      </c>
      <c r="J52" s="592">
        <v>0</v>
      </c>
      <c r="K52" s="592">
        <v>1779.9951885430658</v>
      </c>
      <c r="L52" s="593">
        <v>5782.0053757525702</v>
      </c>
      <c r="M52" s="598"/>
    </row>
    <row r="53" spans="1:26" ht="15" thickBot="1" x14ac:dyDescent="0.35">
      <c r="A53" s="1146"/>
      <c r="B53" s="1149"/>
      <c r="C53" s="1149"/>
      <c r="D53" s="1150" t="s">
        <v>43</v>
      </c>
      <c r="E53" s="1150" t="s">
        <v>124</v>
      </c>
      <c r="F53" s="590" t="s">
        <v>122</v>
      </c>
      <c r="G53" s="591">
        <v>0</v>
      </c>
      <c r="H53" s="592">
        <v>0</v>
      </c>
      <c r="I53" s="592">
        <v>938.80959833630527</v>
      </c>
      <c r="J53" s="592">
        <v>0</v>
      </c>
      <c r="K53" s="592">
        <v>0</v>
      </c>
      <c r="L53" s="593">
        <v>0</v>
      </c>
      <c r="M53" s="598"/>
      <c r="W53" s="44"/>
      <c r="X53" s="44"/>
      <c r="Y53" s="44"/>
    </row>
    <row r="54" spans="1:26" x14ac:dyDescent="0.3">
      <c r="A54" s="1146"/>
      <c r="B54" s="1149"/>
      <c r="C54" s="1149"/>
      <c r="D54" s="1149"/>
      <c r="E54" s="1149"/>
      <c r="F54" s="590" t="s">
        <v>123</v>
      </c>
      <c r="G54" s="591">
        <v>0</v>
      </c>
      <c r="H54" s="592">
        <v>0</v>
      </c>
      <c r="I54" s="592">
        <v>1877.6191966726105</v>
      </c>
      <c r="J54" s="592">
        <v>0</v>
      </c>
      <c r="K54" s="592">
        <v>0</v>
      </c>
      <c r="L54" s="593">
        <v>0</v>
      </c>
      <c r="M54" s="598"/>
      <c r="W54" s="44"/>
      <c r="X54" s="44"/>
      <c r="Y54" s="44"/>
    </row>
    <row r="55" spans="1:26" x14ac:dyDescent="0.3">
      <c r="A55" s="1146"/>
      <c r="B55" s="1149"/>
      <c r="C55" s="1149"/>
      <c r="D55" s="1149"/>
      <c r="E55" s="1149"/>
      <c r="F55" s="590" t="s">
        <v>125</v>
      </c>
      <c r="G55" s="591">
        <v>0</v>
      </c>
      <c r="H55" s="592">
        <v>0</v>
      </c>
      <c r="I55" s="592">
        <v>231.57864572971721</v>
      </c>
      <c r="J55" s="592">
        <v>0</v>
      </c>
      <c r="K55" s="592">
        <v>0</v>
      </c>
      <c r="L55" s="593">
        <v>0</v>
      </c>
      <c r="M55" s="598"/>
    </row>
    <row r="56" spans="1:26" x14ac:dyDescent="0.3">
      <c r="A56" s="1146"/>
      <c r="B56" s="1149"/>
      <c r="C56" s="1149"/>
      <c r="D56" s="1149"/>
      <c r="E56" s="1149"/>
      <c r="F56" s="590" t="s">
        <v>126</v>
      </c>
      <c r="G56" s="591">
        <v>0</v>
      </c>
      <c r="H56" s="592">
        <v>0</v>
      </c>
      <c r="I56" s="592">
        <v>0</v>
      </c>
      <c r="J56" s="592">
        <v>0</v>
      </c>
      <c r="K56" s="592">
        <v>0</v>
      </c>
      <c r="L56" s="593">
        <v>1371.0823146026682</v>
      </c>
      <c r="M56" s="598"/>
      <c r="W56" s="44"/>
      <c r="X56" s="44"/>
      <c r="Y56" s="44"/>
    </row>
    <row r="57" spans="1:26" x14ac:dyDescent="0.3">
      <c r="A57" s="1146"/>
      <c r="B57" s="1149"/>
      <c r="C57" s="1149"/>
      <c r="D57" s="1149"/>
      <c r="E57" s="1149"/>
      <c r="F57" s="590" t="s">
        <v>128</v>
      </c>
      <c r="G57" s="591">
        <v>0</v>
      </c>
      <c r="H57" s="592">
        <v>0</v>
      </c>
      <c r="I57" s="592">
        <v>401.25205272155449</v>
      </c>
      <c r="J57" s="592">
        <v>0</v>
      </c>
      <c r="K57" s="592">
        <v>0</v>
      </c>
      <c r="L57" s="593">
        <v>2403.0236391414992</v>
      </c>
      <c r="M57" s="598"/>
    </row>
    <row r="58" spans="1:26" ht="15" thickBot="1" x14ac:dyDescent="0.35">
      <c r="A58" s="1147"/>
      <c r="B58" s="1151"/>
      <c r="C58" s="1151"/>
      <c r="D58" s="1151"/>
      <c r="E58" s="1151"/>
      <c r="F58" s="594" t="s">
        <v>129</v>
      </c>
      <c r="G58" s="595">
        <v>0</v>
      </c>
      <c r="H58" s="596">
        <v>0</v>
      </c>
      <c r="I58" s="596">
        <v>0</v>
      </c>
      <c r="J58" s="596">
        <v>0</v>
      </c>
      <c r="K58" s="596">
        <v>2179.2779367999765</v>
      </c>
      <c r="L58" s="597">
        <v>807.36580479715064</v>
      </c>
      <c r="M58" s="598"/>
    </row>
    <row r="59" spans="1:26" x14ac:dyDescent="0.3">
      <c r="G59" s="777">
        <f>SUM(G33:G38,G40:G45,G47:G52,G54:G58,J33:J38,J40:J45,J47:J52,J54:J58)</f>
        <v>2154799.9306730451</v>
      </c>
      <c r="H59" s="777">
        <f t="shared" ref="H59:I59" si="10">SUM(H33:H38,H40:H45,H47:H52,H54:H58,K33:K38,K40:K45,K47:K52,K54:K58)</f>
        <v>4103713.9823694816</v>
      </c>
      <c r="I59" s="777">
        <f t="shared" si="10"/>
        <v>3226790.1366951251</v>
      </c>
    </row>
    <row r="60" spans="1:26" x14ac:dyDescent="0.3">
      <c r="G60" s="44">
        <f>SUM(G40:G45,J40:J45)</f>
        <v>1974601.2355916472</v>
      </c>
      <c r="H60" s="44">
        <f t="shared" ref="H60:I60" si="11">SUM(H40:H45,K40:K45)</f>
        <v>3064703.1658465965</v>
      </c>
      <c r="I60" s="44">
        <f t="shared" si="11"/>
        <v>1680859.6714776177</v>
      </c>
      <c r="J60" s="44"/>
      <c r="K60" s="44"/>
      <c r="L60" s="44"/>
      <c r="M60" s="44"/>
    </row>
    <row r="61" spans="1:26" x14ac:dyDescent="0.3">
      <c r="G61" s="44">
        <f>SUM(J33:J38,J40:J45)</f>
        <v>1112164.8807797239</v>
      </c>
      <c r="H61" s="44">
        <f t="shared" ref="H61:I61" si="12">SUM(K33:K38,K40:K45)</f>
        <v>2113684.7821674389</v>
      </c>
      <c r="I61" s="44">
        <f t="shared" si="12"/>
        <v>1626807.183326758</v>
      </c>
      <c r="J61" s="44">
        <f>SUM(G40:G45,G33:G38)</f>
        <v>1040720.4927962027</v>
      </c>
      <c r="K61" s="44">
        <f t="shared" ref="K61:L61" si="13">SUM(H40:H45,H33:H38)</f>
        <v>1975020.4712028748</v>
      </c>
      <c r="L61" s="44">
        <f t="shared" si="13"/>
        <v>1546546.8548891353</v>
      </c>
    </row>
    <row r="62" spans="1:26" x14ac:dyDescent="0.3">
      <c r="G62" s="44"/>
      <c r="H62" s="44"/>
      <c r="I62" s="44"/>
    </row>
    <row r="63" spans="1:26" x14ac:dyDescent="0.3">
      <c r="G63" s="44"/>
      <c r="H63" s="44"/>
      <c r="I63" s="44"/>
    </row>
    <row r="64" spans="1:26" x14ac:dyDescent="0.3">
      <c r="G64" s="44">
        <f>+G33+G40</f>
        <v>105718.06795859891</v>
      </c>
      <c r="H64" s="44">
        <f>+H33+H40</f>
        <v>266953.58596996369</v>
      </c>
      <c r="I64" s="44">
        <f t="shared" ref="I64:L64" si="14">+I33+I40</f>
        <v>269743.52293367148</v>
      </c>
      <c r="J64" s="44">
        <f t="shared" si="14"/>
        <v>118931.61256856627</v>
      </c>
      <c r="K64" s="44">
        <f t="shared" si="14"/>
        <v>270169.3979723446</v>
      </c>
      <c r="L64" s="44">
        <f t="shared" si="14"/>
        <v>275235.89668563631</v>
      </c>
    </row>
    <row r="65" spans="1:21" x14ac:dyDescent="0.3">
      <c r="G65" s="44">
        <f t="shared" ref="G65:L69" si="15">+G34+G41</f>
        <v>124023.62616858435</v>
      </c>
      <c r="H65" s="44">
        <f t="shared" si="15"/>
        <v>247051.80659240903</v>
      </c>
      <c r="I65" s="44">
        <f t="shared" si="15"/>
        <v>162993.46639622946</v>
      </c>
      <c r="J65" s="44">
        <f t="shared" si="15"/>
        <v>85985.390008182934</v>
      </c>
      <c r="K65" s="44">
        <f t="shared" si="15"/>
        <v>235745.7180417717</v>
      </c>
      <c r="L65" s="44">
        <f t="shared" si="15"/>
        <v>195816.20238089477</v>
      </c>
    </row>
    <row r="66" spans="1:21" x14ac:dyDescent="0.3">
      <c r="G66" s="44">
        <f t="shared" si="15"/>
        <v>143958.65309788825</v>
      </c>
      <c r="H66" s="44">
        <f t="shared" si="15"/>
        <v>336514.52948965842</v>
      </c>
      <c r="I66" s="44">
        <f t="shared" si="15"/>
        <v>276697.6917732032</v>
      </c>
      <c r="J66" s="44">
        <f t="shared" si="15"/>
        <v>154781.30435389074</v>
      </c>
      <c r="K66" s="44">
        <f t="shared" si="15"/>
        <v>337083.8499440751</v>
      </c>
      <c r="L66" s="44">
        <f t="shared" si="15"/>
        <v>287764.90482499462</v>
      </c>
    </row>
    <row r="67" spans="1:21" x14ac:dyDescent="0.3">
      <c r="G67" s="44">
        <f t="shared" si="15"/>
        <v>197671.67627620461</v>
      </c>
      <c r="H67" s="44">
        <f t="shared" si="15"/>
        <v>377933.79673818895</v>
      </c>
      <c r="I67" s="44">
        <f t="shared" si="15"/>
        <v>344739.40095416387</v>
      </c>
      <c r="J67" s="44">
        <f t="shared" si="15"/>
        <v>217081.49079888809</v>
      </c>
      <c r="K67" s="44">
        <f t="shared" si="15"/>
        <v>406547.73179803608</v>
      </c>
      <c r="L67" s="44">
        <f t="shared" si="15"/>
        <v>333870.4905488661</v>
      </c>
    </row>
    <row r="68" spans="1:21" x14ac:dyDescent="0.3">
      <c r="G68" s="44">
        <f t="shared" si="15"/>
        <v>181747.6109267858</v>
      </c>
      <c r="H68" s="44">
        <f t="shared" si="15"/>
        <v>336490.30245573097</v>
      </c>
      <c r="I68" s="44">
        <f t="shared" si="15"/>
        <v>242679.2456044952</v>
      </c>
      <c r="J68" s="44">
        <f t="shared" si="15"/>
        <v>203121.72179439233</v>
      </c>
      <c r="K68" s="44">
        <f t="shared" si="15"/>
        <v>397570.24639741145</v>
      </c>
      <c r="L68" s="44">
        <f t="shared" si="15"/>
        <v>262853.38521978853</v>
      </c>
    </row>
    <row r="69" spans="1:21" x14ac:dyDescent="0.3">
      <c r="G69" s="44">
        <f t="shared" si="15"/>
        <v>287600.85836814082</v>
      </c>
      <c r="H69" s="44">
        <f t="shared" si="15"/>
        <v>410076.44995692361</v>
      </c>
      <c r="I69" s="44">
        <f t="shared" si="15"/>
        <v>249693.52722737219</v>
      </c>
      <c r="J69" s="44">
        <f t="shared" si="15"/>
        <v>332263.36125580349</v>
      </c>
      <c r="K69" s="44">
        <f t="shared" si="15"/>
        <v>466567.83801380015</v>
      </c>
      <c r="L69" s="44">
        <f t="shared" si="15"/>
        <v>271266.30366657779</v>
      </c>
    </row>
    <row r="70" spans="1:21" x14ac:dyDescent="0.3">
      <c r="G70" s="44"/>
      <c r="H70" s="44"/>
      <c r="I70" s="44"/>
    </row>
    <row r="71" spans="1:21" x14ac:dyDescent="0.3">
      <c r="G71" s="44"/>
      <c r="H71" s="44"/>
      <c r="I71" s="44"/>
    </row>
    <row r="72" spans="1:21" x14ac:dyDescent="0.3">
      <c r="G72" s="44"/>
      <c r="H72" s="44"/>
      <c r="I72" s="44"/>
    </row>
    <row r="73" spans="1:21" x14ac:dyDescent="0.3">
      <c r="A73" s="729"/>
      <c r="B73" s="728"/>
      <c r="C73" s="728"/>
      <c r="D73" s="728"/>
      <c r="E73" s="728"/>
      <c r="F73" s="728"/>
      <c r="G73" s="730"/>
      <c r="H73" s="728"/>
      <c r="I73" s="728"/>
      <c r="J73" s="728"/>
      <c r="K73" s="728"/>
      <c r="L73" s="728"/>
      <c r="M73" s="598"/>
    </row>
    <row r="74" spans="1:21" x14ac:dyDescent="0.3">
      <c r="A74" s="728"/>
      <c r="B74" s="728"/>
      <c r="C74" s="728"/>
      <c r="D74" s="728"/>
      <c r="E74" s="728"/>
      <c r="F74" s="728"/>
      <c r="G74" s="730"/>
      <c r="H74" s="728"/>
      <c r="I74" s="728"/>
      <c r="J74" s="730"/>
      <c r="K74" s="728"/>
      <c r="L74" s="728"/>
      <c r="M74" s="598"/>
    </row>
    <row r="75" spans="1:21" x14ac:dyDescent="0.3">
      <c r="A75" s="728"/>
      <c r="B75" s="728"/>
      <c r="C75" s="728"/>
      <c r="D75" s="728"/>
      <c r="E75" s="728"/>
      <c r="F75" s="728"/>
      <c r="G75" s="730"/>
      <c r="H75" s="728"/>
      <c r="I75" s="728"/>
      <c r="J75" s="730"/>
      <c r="K75" s="728"/>
      <c r="L75" s="728"/>
      <c r="M75" s="598"/>
    </row>
    <row r="76" spans="1:21" x14ac:dyDescent="0.3">
      <c r="A76" s="728"/>
      <c r="B76" s="728"/>
      <c r="C76" s="728"/>
      <c r="D76" s="728"/>
      <c r="E76" s="728"/>
      <c r="F76" s="728"/>
      <c r="G76" s="773"/>
      <c r="H76" s="773"/>
      <c r="I76" s="773"/>
      <c r="J76" s="773"/>
      <c r="K76" s="773"/>
      <c r="L76" s="773"/>
      <c r="M76" s="598"/>
    </row>
    <row r="77" spans="1:21" x14ac:dyDescent="0.3">
      <c r="A77" s="728"/>
      <c r="B77" s="728"/>
      <c r="C77" s="728"/>
      <c r="D77" s="728"/>
      <c r="E77" s="728"/>
      <c r="F77" s="728"/>
      <c r="G77" s="773"/>
      <c r="H77" s="773"/>
      <c r="I77" s="773"/>
      <c r="J77" s="773"/>
      <c r="K77" s="773"/>
      <c r="L77" s="773"/>
      <c r="M77" s="598"/>
    </row>
    <row r="78" spans="1:21" x14ac:dyDescent="0.3">
      <c r="A78" s="774"/>
      <c r="B78" s="774"/>
      <c r="C78" s="774"/>
      <c r="D78" s="774"/>
      <c r="E78" s="774"/>
      <c r="F78" s="842"/>
      <c r="G78" s="775"/>
      <c r="H78" s="775"/>
      <c r="I78" s="775"/>
      <c r="J78" s="775"/>
      <c r="K78" s="775"/>
      <c r="L78" s="775"/>
      <c r="M78" s="598"/>
      <c r="P78" s="757"/>
      <c r="Q78" s="757"/>
      <c r="R78" s="757"/>
      <c r="S78" s="757"/>
      <c r="T78" s="757"/>
      <c r="U78" s="757"/>
    </row>
    <row r="79" spans="1:21" x14ac:dyDescent="0.3">
      <c r="A79" s="728"/>
      <c r="B79" s="728"/>
      <c r="C79" s="728"/>
      <c r="D79" s="728"/>
      <c r="E79" s="728"/>
      <c r="F79" s="842"/>
      <c r="G79" s="775"/>
      <c r="H79" s="775"/>
      <c r="I79" s="775"/>
      <c r="J79" s="775"/>
      <c r="K79" s="775"/>
      <c r="L79" s="775"/>
      <c r="M79" s="598"/>
      <c r="P79" s="757"/>
      <c r="Q79" s="757"/>
      <c r="R79" s="757"/>
      <c r="S79" s="757"/>
      <c r="T79" s="757"/>
      <c r="U79" s="757"/>
    </row>
    <row r="80" spans="1:21" x14ac:dyDescent="0.3">
      <c r="A80" s="728"/>
      <c r="B80" s="728"/>
      <c r="C80" s="728"/>
      <c r="D80" s="728"/>
      <c r="E80" s="728"/>
      <c r="F80" s="842"/>
      <c r="G80" s="775"/>
      <c r="H80" s="775"/>
      <c r="I80" s="775"/>
      <c r="J80" s="775"/>
      <c r="K80" s="775"/>
      <c r="L80" s="775"/>
      <c r="M80" s="598"/>
      <c r="P80" s="757"/>
      <c r="Q80" s="757"/>
      <c r="R80" s="757"/>
      <c r="S80" s="757"/>
      <c r="T80" s="757"/>
      <c r="U80" s="757"/>
    </row>
    <row r="81" spans="1:21" x14ac:dyDescent="0.3">
      <c r="A81" s="728"/>
      <c r="B81" s="728"/>
      <c r="C81" s="728"/>
      <c r="D81" s="728"/>
      <c r="E81" s="728"/>
      <c r="F81" s="842"/>
      <c r="G81" s="775"/>
      <c r="H81" s="775"/>
      <c r="I81" s="775"/>
      <c r="J81" s="775"/>
      <c r="K81" s="775"/>
      <c r="L81" s="775"/>
      <c r="M81" s="598"/>
      <c r="P81" s="757"/>
      <c r="Q81" s="757"/>
      <c r="R81" s="757"/>
      <c r="S81" s="757"/>
      <c r="T81" s="757"/>
      <c r="U81" s="757"/>
    </row>
    <row r="82" spans="1:21" x14ac:dyDescent="0.3">
      <c r="A82" s="728"/>
      <c r="B82" s="728"/>
      <c r="C82" s="728"/>
      <c r="D82" s="728"/>
      <c r="E82" s="728"/>
      <c r="F82" s="842"/>
      <c r="G82" s="775"/>
      <c r="H82" s="775"/>
      <c r="I82" s="775"/>
      <c r="J82" s="775"/>
      <c r="K82" s="775"/>
      <c r="L82" s="775"/>
      <c r="M82" s="598"/>
      <c r="P82" s="757"/>
      <c r="Q82" s="757"/>
      <c r="R82" s="757"/>
      <c r="S82" s="757"/>
      <c r="T82" s="757"/>
      <c r="U82" s="757"/>
    </row>
    <row r="83" spans="1:21" x14ac:dyDescent="0.3">
      <c r="A83" s="728"/>
      <c r="B83" s="728"/>
      <c r="C83" s="728"/>
      <c r="D83" s="728"/>
      <c r="E83" s="728"/>
      <c r="F83" s="842"/>
      <c r="G83" s="775"/>
      <c r="H83" s="775"/>
      <c r="I83" s="775"/>
      <c r="J83" s="775"/>
      <c r="K83" s="775"/>
      <c r="L83" s="775"/>
      <c r="M83" s="598"/>
      <c r="P83" s="757"/>
      <c r="Q83" s="757"/>
      <c r="R83" s="757"/>
      <c r="S83" s="757"/>
      <c r="T83" s="757"/>
      <c r="U83" s="757"/>
    </row>
    <row r="84" spans="1:21" x14ac:dyDescent="0.3">
      <c r="A84" s="728"/>
      <c r="B84" s="728"/>
      <c r="C84" s="728"/>
      <c r="D84" s="728"/>
      <c r="E84" s="728"/>
      <c r="F84" s="842"/>
      <c r="G84" s="775"/>
      <c r="H84" s="775"/>
      <c r="I84" s="775"/>
      <c r="J84" s="775"/>
      <c r="K84" s="775"/>
      <c r="L84" s="775"/>
      <c r="M84" s="598"/>
      <c r="P84" s="757"/>
      <c r="Q84" s="757"/>
      <c r="R84" s="757"/>
      <c r="S84" s="757"/>
      <c r="T84" s="757"/>
      <c r="U84" s="757"/>
    </row>
    <row r="85" spans="1:21" x14ac:dyDescent="0.3">
      <c r="A85" s="728"/>
      <c r="B85" s="728"/>
      <c r="C85" s="728"/>
      <c r="D85" s="774"/>
      <c r="E85" s="774"/>
      <c r="F85" s="842"/>
      <c r="G85" s="775"/>
      <c r="H85" s="775"/>
      <c r="I85" s="775"/>
      <c r="J85" s="775"/>
      <c r="K85" s="775"/>
      <c r="L85" s="775"/>
      <c r="M85" s="598"/>
      <c r="P85" s="757"/>
      <c r="Q85" s="757"/>
      <c r="R85" s="757"/>
      <c r="S85" s="757"/>
      <c r="T85" s="757"/>
      <c r="U85" s="757"/>
    </row>
    <row r="86" spans="1:21" x14ac:dyDescent="0.3">
      <c r="A86" s="728"/>
      <c r="B86" s="728"/>
      <c r="C86" s="728"/>
      <c r="D86" s="728"/>
      <c r="E86" s="728"/>
      <c r="F86" s="842"/>
      <c r="G86" s="775"/>
      <c r="H86" s="775"/>
      <c r="I86" s="775"/>
      <c r="J86" s="775"/>
      <c r="K86" s="775"/>
      <c r="L86" s="775"/>
      <c r="M86" s="598"/>
      <c r="P86" s="757"/>
      <c r="Q86" s="757"/>
      <c r="R86" s="757"/>
      <c r="S86" s="757"/>
      <c r="T86" s="757"/>
      <c r="U86" s="757"/>
    </row>
    <row r="87" spans="1:21" x14ac:dyDescent="0.3">
      <c r="A87" s="728"/>
      <c r="B87" s="728"/>
      <c r="C87" s="728"/>
      <c r="D87" s="728"/>
      <c r="E87" s="728"/>
      <c r="F87" s="842"/>
      <c r="G87" s="775"/>
      <c r="H87" s="775"/>
      <c r="I87" s="775"/>
      <c r="J87" s="775"/>
      <c r="K87" s="775"/>
      <c r="L87" s="775"/>
      <c r="M87" s="598"/>
      <c r="P87" s="757"/>
      <c r="Q87" s="757"/>
      <c r="R87" s="757"/>
      <c r="S87" s="757"/>
      <c r="T87" s="757"/>
      <c r="U87" s="757"/>
    </row>
    <row r="88" spans="1:21" x14ac:dyDescent="0.3">
      <c r="A88" s="728"/>
      <c r="B88" s="728"/>
      <c r="C88" s="728"/>
      <c r="D88" s="728"/>
      <c r="E88" s="728"/>
      <c r="F88" s="842"/>
      <c r="G88" s="775"/>
      <c r="H88" s="775"/>
      <c r="I88" s="775"/>
      <c r="J88" s="775"/>
      <c r="K88" s="775"/>
      <c r="L88" s="775"/>
      <c r="M88" s="598"/>
      <c r="P88" s="757"/>
      <c r="Q88" s="757"/>
      <c r="R88" s="757"/>
      <c r="S88" s="757"/>
      <c r="T88" s="757"/>
      <c r="U88" s="757"/>
    </row>
    <row r="89" spans="1:21" x14ac:dyDescent="0.3">
      <c r="A89" s="728"/>
      <c r="B89" s="728"/>
      <c r="C89" s="728"/>
      <c r="D89" s="728"/>
      <c r="E89" s="728"/>
      <c r="F89" s="842"/>
      <c r="G89" s="775"/>
      <c r="H89" s="775"/>
      <c r="I89" s="775"/>
      <c r="J89" s="775"/>
      <c r="K89" s="775"/>
      <c r="L89" s="775"/>
      <c r="M89" s="598"/>
      <c r="P89" s="757"/>
      <c r="Q89" s="757"/>
      <c r="R89" s="757"/>
      <c r="S89" s="757"/>
      <c r="T89" s="757"/>
      <c r="U89" s="757"/>
    </row>
    <row r="90" spans="1:21" x14ac:dyDescent="0.3">
      <c r="A90" s="728"/>
      <c r="B90" s="728"/>
      <c r="C90" s="728"/>
      <c r="D90" s="728"/>
      <c r="E90" s="728"/>
      <c r="F90" s="842"/>
      <c r="G90" s="775"/>
      <c r="H90" s="775"/>
      <c r="I90" s="775"/>
      <c r="J90" s="775"/>
      <c r="K90" s="775"/>
      <c r="L90" s="775"/>
      <c r="M90" s="598"/>
      <c r="P90" s="757"/>
      <c r="Q90" s="757"/>
      <c r="R90" s="757"/>
      <c r="S90" s="757"/>
      <c r="T90" s="757"/>
      <c r="U90" s="757"/>
    </row>
    <row r="91" spans="1:21" x14ac:dyDescent="0.3">
      <c r="A91" s="728"/>
      <c r="B91" s="728"/>
      <c r="C91" s="728"/>
      <c r="D91" s="728"/>
      <c r="E91" s="728"/>
      <c r="F91" s="842"/>
      <c r="G91" s="775"/>
      <c r="H91" s="775"/>
      <c r="I91" s="775"/>
      <c r="J91" s="775"/>
      <c r="K91" s="775"/>
      <c r="L91" s="775"/>
      <c r="M91" s="598"/>
      <c r="P91" s="757"/>
      <c r="Q91" s="757"/>
      <c r="R91" s="757"/>
      <c r="S91" s="757"/>
      <c r="T91" s="757"/>
      <c r="U91" s="757"/>
    </row>
    <row r="92" spans="1:21" x14ac:dyDescent="0.3">
      <c r="A92" s="728"/>
      <c r="B92" s="774"/>
      <c r="C92" s="774"/>
      <c r="D92" s="774"/>
      <c r="E92" s="774"/>
      <c r="F92" s="842"/>
      <c r="G92" s="775"/>
      <c r="H92" s="775"/>
      <c r="I92" s="775"/>
      <c r="J92" s="775"/>
      <c r="K92" s="775"/>
      <c r="L92" s="775"/>
      <c r="M92" s="598"/>
    </row>
    <row r="93" spans="1:21" x14ac:dyDescent="0.3">
      <c r="A93" s="728"/>
      <c r="B93" s="728"/>
      <c r="C93" s="728"/>
      <c r="D93" s="728"/>
      <c r="E93" s="728"/>
      <c r="F93" s="842"/>
      <c r="G93" s="775"/>
      <c r="H93" s="775"/>
      <c r="I93" s="775"/>
      <c r="J93" s="775"/>
      <c r="K93" s="775"/>
      <c r="L93" s="775"/>
      <c r="M93" s="598"/>
    </row>
    <row r="94" spans="1:21" x14ac:dyDescent="0.3">
      <c r="A94" s="728"/>
      <c r="B94" s="728"/>
      <c r="C94" s="728"/>
      <c r="D94" s="728"/>
      <c r="E94" s="728"/>
      <c r="F94" s="842"/>
      <c r="G94" s="775"/>
      <c r="H94" s="775"/>
      <c r="I94" s="775"/>
      <c r="J94" s="775"/>
      <c r="K94" s="775"/>
      <c r="L94" s="775"/>
      <c r="M94" s="598"/>
    </row>
    <row r="95" spans="1:21" x14ac:dyDescent="0.3">
      <c r="A95" s="728"/>
      <c r="B95" s="728"/>
      <c r="C95" s="728"/>
      <c r="D95" s="728"/>
      <c r="E95" s="728"/>
      <c r="F95" s="842"/>
      <c r="G95" s="775"/>
      <c r="H95" s="775"/>
      <c r="I95" s="775"/>
      <c r="J95" s="775"/>
      <c r="K95" s="775"/>
      <c r="L95" s="775"/>
      <c r="M95" s="598"/>
    </row>
    <row r="96" spans="1:21" x14ac:dyDescent="0.3">
      <c r="A96" s="728"/>
      <c r="B96" s="728"/>
      <c r="C96" s="728"/>
      <c r="D96" s="728"/>
      <c r="E96" s="728"/>
      <c r="F96" s="842"/>
      <c r="G96" s="775"/>
      <c r="H96" s="775"/>
      <c r="I96" s="775"/>
      <c r="J96" s="775"/>
      <c r="K96" s="775"/>
      <c r="L96" s="775"/>
      <c r="M96" s="598"/>
    </row>
    <row r="97" spans="1:13" x14ac:dyDescent="0.3">
      <c r="A97" s="728"/>
      <c r="B97" s="728"/>
      <c r="C97" s="728"/>
      <c r="D97" s="728"/>
      <c r="E97" s="728"/>
      <c r="F97" s="842"/>
      <c r="G97" s="775"/>
      <c r="H97" s="775"/>
      <c r="I97" s="775"/>
      <c r="J97" s="775"/>
      <c r="K97" s="775"/>
      <c r="L97" s="775"/>
      <c r="M97" s="598"/>
    </row>
    <row r="98" spans="1:13" x14ac:dyDescent="0.3">
      <c r="A98" s="728"/>
      <c r="B98" s="728"/>
      <c r="C98" s="728"/>
      <c r="D98" s="728"/>
      <c r="E98" s="728"/>
      <c r="F98" s="842"/>
      <c r="G98" s="775"/>
      <c r="H98" s="775"/>
      <c r="I98" s="775"/>
      <c r="J98" s="775"/>
      <c r="K98" s="775"/>
      <c r="L98" s="775"/>
      <c r="M98" s="598"/>
    </row>
  </sheetData>
  <mergeCells count="79">
    <mergeCell ref="H15:J15"/>
    <mergeCell ref="E16:G16"/>
    <mergeCell ref="H16:J16"/>
    <mergeCell ref="A32:A58"/>
    <mergeCell ref="B32:B45"/>
    <mergeCell ref="C32:C45"/>
    <mergeCell ref="D32:D38"/>
    <mergeCell ref="E32:E38"/>
    <mergeCell ref="D39:D45"/>
    <mergeCell ref="E39:E45"/>
    <mergeCell ref="B46:B58"/>
    <mergeCell ref="C46:C58"/>
    <mergeCell ref="D46:D52"/>
    <mergeCell ref="E46:E52"/>
    <mergeCell ref="D53:D58"/>
    <mergeCell ref="E53:E58"/>
    <mergeCell ref="P1:AH1"/>
    <mergeCell ref="U36:U42"/>
    <mergeCell ref="W18:Y18"/>
    <mergeCell ref="Z18:AB18"/>
    <mergeCell ref="Q15:V21"/>
    <mergeCell ref="Q8:Q11"/>
    <mergeCell ref="AC18:AE18"/>
    <mergeCell ref="W15:AH15"/>
    <mergeCell ref="W16:AB16"/>
    <mergeCell ref="AC16:AH16"/>
    <mergeCell ref="W17:AB17"/>
    <mergeCell ref="AC17:AH17"/>
    <mergeCell ref="R8:R9"/>
    <mergeCell ref="S8:S9"/>
    <mergeCell ref="AF18:AH18"/>
    <mergeCell ref="W19:Y19"/>
    <mergeCell ref="T43:T44"/>
    <mergeCell ref="U43:U44"/>
    <mergeCell ref="Q22:Q44"/>
    <mergeCell ref="R22:R35"/>
    <mergeCell ref="S22:S35"/>
    <mergeCell ref="T22:T28"/>
    <mergeCell ref="U22:U28"/>
    <mergeCell ref="T29:T35"/>
    <mergeCell ref="U29:U35"/>
    <mergeCell ref="R36:R44"/>
    <mergeCell ref="S36:S44"/>
    <mergeCell ref="T36:T42"/>
    <mergeCell ref="AC19:AE19"/>
    <mergeCell ref="AF19:AH19"/>
    <mergeCell ref="R10:R11"/>
    <mergeCell ref="Q3:T7"/>
    <mergeCell ref="U3:Z3"/>
    <mergeCell ref="U4:V4"/>
    <mergeCell ref="W4:X4"/>
    <mergeCell ref="Y4:Z4"/>
    <mergeCell ref="U5:V5"/>
    <mergeCell ref="W5:X5"/>
    <mergeCell ref="Y5:Z5"/>
    <mergeCell ref="Z19:AB19"/>
    <mergeCell ref="S10:S11"/>
    <mergeCell ref="A27:F31"/>
    <mergeCell ref="G27:L27"/>
    <mergeCell ref="G28:I28"/>
    <mergeCell ref="J28:L28"/>
    <mergeCell ref="G29:I29"/>
    <mergeCell ref="J29:L29"/>
    <mergeCell ref="A1:L1"/>
    <mergeCell ref="A19:A22"/>
    <mergeCell ref="B19:B20"/>
    <mergeCell ref="C19:C20"/>
    <mergeCell ref="B21:B22"/>
    <mergeCell ref="C21:C22"/>
    <mergeCell ref="A3:D5"/>
    <mergeCell ref="E3:G3"/>
    <mergeCell ref="A6:A9"/>
    <mergeCell ref="B6:B7"/>
    <mergeCell ref="C6:C7"/>
    <mergeCell ref="B8:B9"/>
    <mergeCell ref="C8:C9"/>
    <mergeCell ref="A14:D18"/>
    <mergeCell ref="E14:J14"/>
    <mergeCell ref="E15:G15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AI121"/>
  <sheetViews>
    <sheetView topLeftCell="A16" zoomScale="80" zoomScaleNormal="80" workbookViewId="0">
      <selection activeCell="G33" sqref="G33"/>
    </sheetView>
  </sheetViews>
  <sheetFormatPr baseColWidth="10" defaultRowHeight="14.4" x14ac:dyDescent="0.3"/>
  <cols>
    <col min="3" max="3" width="21" customWidth="1"/>
    <col min="13" max="13" width="13.5546875" bestFit="1" customWidth="1"/>
    <col min="14" max="14" width="2.5546875" style="629" customWidth="1"/>
    <col min="15" max="15" width="2" customWidth="1"/>
    <col min="35" max="35" width="9" customWidth="1"/>
  </cols>
  <sheetData>
    <row r="1" spans="1:35" ht="18" x14ac:dyDescent="0.35">
      <c r="A1" s="1144" t="s">
        <v>156</v>
      </c>
      <c r="B1" s="1144"/>
      <c r="C1" s="1144"/>
      <c r="D1" s="1144"/>
      <c r="E1" s="1144"/>
      <c r="F1" s="1144"/>
      <c r="G1" s="1144"/>
      <c r="H1" s="1144"/>
      <c r="I1" s="1144"/>
      <c r="J1" s="1144"/>
      <c r="K1" s="1144"/>
      <c r="L1" s="1144"/>
      <c r="P1" s="1144" t="s">
        <v>162</v>
      </c>
      <c r="Q1" s="1144"/>
      <c r="R1" s="1144"/>
      <c r="S1" s="1144"/>
      <c r="T1" s="1144"/>
      <c r="U1" s="1144"/>
      <c r="V1" s="1144"/>
      <c r="W1" s="1144"/>
      <c r="X1" s="1144"/>
      <c r="Y1" s="1144"/>
      <c r="Z1" s="1144"/>
      <c r="AA1" s="1144"/>
      <c r="AB1" s="1144"/>
      <c r="AC1" s="1144"/>
      <c r="AD1" s="1144"/>
      <c r="AE1" s="1144"/>
      <c r="AF1" s="1144"/>
      <c r="AG1" s="1144"/>
      <c r="AH1" s="1144"/>
    </row>
    <row r="2" spans="1:35" ht="15" thickBot="1" x14ac:dyDescent="0.35"/>
    <row r="3" spans="1:35" ht="15.75" customHeight="1" thickTop="1" thickBot="1" x14ac:dyDescent="0.35">
      <c r="A3" s="1204" t="s">
        <v>157</v>
      </c>
      <c r="B3" s="1205"/>
      <c r="C3" s="1205"/>
      <c r="D3" s="1206"/>
      <c r="E3" s="1093" t="s">
        <v>120</v>
      </c>
      <c r="F3" s="1094"/>
      <c r="G3" s="1095"/>
      <c r="Q3" s="1084"/>
      <c r="R3" s="1085"/>
      <c r="S3" s="1085"/>
      <c r="T3" s="1086"/>
      <c r="U3" s="1223" t="s">
        <v>120</v>
      </c>
      <c r="V3" s="1224"/>
      <c r="W3" s="1224"/>
      <c r="X3" s="1224"/>
      <c r="Y3" s="1224"/>
      <c r="Z3" s="1225"/>
      <c r="AA3" s="598"/>
      <c r="AE3" s="729"/>
      <c r="AF3" s="728"/>
      <c r="AG3" s="728"/>
      <c r="AH3" s="728"/>
      <c r="AI3" s="730"/>
    </row>
    <row r="4" spans="1:35" ht="15" customHeight="1" x14ac:dyDescent="0.3">
      <c r="A4" s="1146"/>
      <c r="B4" s="1149"/>
      <c r="C4" s="1149"/>
      <c r="D4" s="1155"/>
      <c r="E4" s="878" t="s">
        <v>92</v>
      </c>
      <c r="F4" s="879" t="s">
        <v>6</v>
      </c>
      <c r="G4" s="880" t="s">
        <v>93</v>
      </c>
      <c r="Q4" s="1087"/>
      <c r="R4" s="1088"/>
      <c r="S4" s="1088"/>
      <c r="T4" s="1089"/>
      <c r="U4" s="1226" t="s">
        <v>92</v>
      </c>
      <c r="V4" s="1227"/>
      <c r="W4" s="1221" t="s">
        <v>6</v>
      </c>
      <c r="X4" s="1227"/>
      <c r="Y4" s="1221" t="s">
        <v>93</v>
      </c>
      <c r="Z4" s="1222"/>
      <c r="AA4" s="598"/>
      <c r="AE4" s="728"/>
      <c r="AF4" s="764"/>
      <c r="AG4" s="765"/>
      <c r="AH4" s="765"/>
      <c r="AI4" s="765"/>
    </row>
    <row r="5" spans="1:35" ht="15" thickBot="1" x14ac:dyDescent="0.35">
      <c r="A5" s="1147"/>
      <c r="B5" s="1151"/>
      <c r="C5" s="1151"/>
      <c r="D5" s="1156"/>
      <c r="E5" s="881" t="s">
        <v>40</v>
      </c>
      <c r="F5" s="882" t="s">
        <v>40</v>
      </c>
      <c r="G5" s="883" t="s">
        <v>40</v>
      </c>
      <c r="Q5" s="1087"/>
      <c r="R5" s="1088"/>
      <c r="S5" s="1088"/>
      <c r="T5" s="1089"/>
      <c r="U5" s="1226" t="s">
        <v>105</v>
      </c>
      <c r="V5" s="1227"/>
      <c r="W5" s="1221" t="s">
        <v>105</v>
      </c>
      <c r="X5" s="1227"/>
      <c r="Y5" s="1221" t="s">
        <v>105</v>
      </c>
      <c r="Z5" s="1222"/>
      <c r="AA5" s="598"/>
      <c r="AE5" s="728"/>
      <c r="AF5" s="765"/>
      <c r="AG5" s="765"/>
      <c r="AH5" s="765"/>
      <c r="AI5" s="765"/>
    </row>
    <row r="6" spans="1:35" ht="15.75" customHeight="1" thickTop="1" thickBot="1" x14ac:dyDescent="0.35">
      <c r="A6" s="1207" t="s">
        <v>170</v>
      </c>
      <c r="B6" s="1228" t="s">
        <v>118</v>
      </c>
      <c r="C6" s="1110" t="s">
        <v>169</v>
      </c>
      <c r="D6" s="419" t="s">
        <v>118</v>
      </c>
      <c r="E6" s="720">
        <v>586529.93160169257</v>
      </c>
      <c r="F6" s="721">
        <v>818818.00952755683</v>
      </c>
      <c r="G6" s="722">
        <v>352479.27977726632</v>
      </c>
      <c r="H6">
        <f>+(E6+E7)/SUM(E6:G7)</f>
        <v>0.2493701107313688</v>
      </c>
      <c r="I6">
        <f>+(F6+F7)/G11</f>
        <v>3588457.9351359732</v>
      </c>
      <c r="J6">
        <f>+(G6+G7)/G11</f>
        <v>2530423.9168243501</v>
      </c>
      <c r="Q6" s="1087"/>
      <c r="R6" s="1088"/>
      <c r="S6" s="1088"/>
      <c r="T6" s="1089"/>
      <c r="U6" s="878" t="s">
        <v>106</v>
      </c>
      <c r="V6" s="879" t="s">
        <v>107</v>
      </c>
      <c r="W6" s="879" t="s">
        <v>106</v>
      </c>
      <c r="X6" s="879" t="s">
        <v>107</v>
      </c>
      <c r="Y6" s="879" t="s">
        <v>106</v>
      </c>
      <c r="Z6" s="880" t="s">
        <v>107</v>
      </c>
      <c r="AA6" s="598"/>
      <c r="AE6" s="728"/>
      <c r="AF6" s="765"/>
      <c r="AG6" s="765"/>
      <c r="AH6" s="765"/>
      <c r="AI6" s="765"/>
    </row>
    <row r="7" spans="1:35" ht="15" thickBot="1" x14ac:dyDescent="0.35">
      <c r="A7" s="1146"/>
      <c r="B7" s="1111"/>
      <c r="C7" s="1111"/>
      <c r="D7" s="423" t="s">
        <v>119</v>
      </c>
      <c r="E7" s="591">
        <v>62206.637958579857</v>
      </c>
      <c r="F7" s="592">
        <v>326393.29805939557</v>
      </c>
      <c r="G7" s="593">
        <v>455073.75133438472</v>
      </c>
      <c r="Q7" s="1090"/>
      <c r="R7" s="1091"/>
      <c r="S7" s="1091"/>
      <c r="T7" s="1092"/>
      <c r="U7" s="881" t="s">
        <v>40</v>
      </c>
      <c r="V7" s="882" t="s">
        <v>40</v>
      </c>
      <c r="W7" s="882" t="s">
        <v>40</v>
      </c>
      <c r="X7" s="882" t="s">
        <v>40</v>
      </c>
      <c r="Y7" s="882" t="s">
        <v>40</v>
      </c>
      <c r="Z7" s="883" t="s">
        <v>40</v>
      </c>
      <c r="AA7" s="598"/>
      <c r="AC7" s="939" t="s">
        <v>92</v>
      </c>
      <c r="AD7" s="939" t="s">
        <v>6</v>
      </c>
      <c r="AE7" s="728" t="s">
        <v>93</v>
      </c>
      <c r="AF7" s="765"/>
      <c r="AG7" s="765"/>
      <c r="AH7" s="765"/>
      <c r="AI7" s="765"/>
    </row>
    <row r="8" spans="1:35" ht="15.75" customHeight="1" thickTop="1" thickBot="1" x14ac:dyDescent="0.35">
      <c r="A8" s="1146"/>
      <c r="B8" s="1150" t="s">
        <v>43</v>
      </c>
      <c r="C8" s="1150" t="s">
        <v>49</v>
      </c>
      <c r="D8" s="590" t="s">
        <v>42</v>
      </c>
      <c r="E8" s="591">
        <v>0</v>
      </c>
      <c r="F8" s="592">
        <v>0</v>
      </c>
      <c r="G8" s="593">
        <v>0</v>
      </c>
      <c r="H8" s="44">
        <f>SUM(E6:G7)</f>
        <v>2601500.9082588758</v>
      </c>
      <c r="Q8" s="1107" t="s">
        <v>170</v>
      </c>
      <c r="R8" s="1110" t="s">
        <v>50</v>
      </c>
      <c r="S8" s="1110" t="s">
        <v>169</v>
      </c>
      <c r="T8" s="419" t="s">
        <v>118</v>
      </c>
      <c r="U8" s="420">
        <v>57508.30449537142</v>
      </c>
      <c r="V8" s="421">
        <v>88382.058555746073</v>
      </c>
      <c r="W8" s="421">
        <v>111969.70116618561</v>
      </c>
      <c r="X8" s="421">
        <v>97433.783123553338</v>
      </c>
      <c r="Y8" s="421">
        <v>60789.102024293978</v>
      </c>
      <c r="Z8" s="422">
        <v>40432.601396276601</v>
      </c>
      <c r="AA8" s="626"/>
      <c r="AB8" s="44">
        <f>SUM(U8:Z9)</f>
        <v>930382.26738725964</v>
      </c>
      <c r="AC8" s="44">
        <f>SUM(U8:V9)</f>
        <v>169776.96440883889</v>
      </c>
      <c r="AD8" s="44">
        <f>SUM(W8:X9)</f>
        <v>360721.40618847491</v>
      </c>
      <c r="AE8" s="768">
        <f>SUM(Y8:Z9)</f>
        <v>399883.89678994584</v>
      </c>
      <c r="AF8" s="769"/>
      <c r="AG8" s="769"/>
      <c r="AH8" s="765"/>
      <c r="AI8" s="765"/>
    </row>
    <row r="9" spans="1:35" ht="15" thickBot="1" x14ac:dyDescent="0.35">
      <c r="A9" s="1147"/>
      <c r="B9" s="1151"/>
      <c r="C9" s="1151"/>
      <c r="D9" s="594" t="s">
        <v>43</v>
      </c>
      <c r="E9" s="595">
        <v>830.27363184080036</v>
      </c>
      <c r="F9" s="596">
        <v>1506.8515876643073</v>
      </c>
      <c r="G9" s="597">
        <v>34411.047816750499</v>
      </c>
      <c r="H9" s="44">
        <f>SUM(E6:G9)</f>
        <v>2638249.0812951317</v>
      </c>
      <c r="I9" s="44"/>
      <c r="K9" s="44"/>
      <c r="Q9" s="1108"/>
      <c r="R9" s="1111"/>
      <c r="S9" s="1111"/>
      <c r="T9" s="423" t="s">
        <v>119</v>
      </c>
      <c r="U9" s="424">
        <v>7450.6682697025635</v>
      </c>
      <c r="V9" s="425">
        <v>16435.933088018835</v>
      </c>
      <c r="W9" s="425">
        <v>71831.31274502103</v>
      </c>
      <c r="X9" s="425">
        <v>79486.609153714962</v>
      </c>
      <c r="Y9" s="425">
        <v>158367.88754956989</v>
      </c>
      <c r="Z9" s="426">
        <v>140294.30581980536</v>
      </c>
      <c r="AA9" s="598"/>
      <c r="AC9" s="876">
        <f>+AC8/$AB$8</f>
        <v>0.18248086873540059</v>
      </c>
      <c r="AD9" s="876">
        <f t="shared" ref="AD9:AE9" si="0">+AD8/$AB$8</f>
        <v>0.38771311409606785</v>
      </c>
      <c r="AE9" s="876">
        <f t="shared" si="0"/>
        <v>0.42980601716853156</v>
      </c>
      <c r="AF9" s="766"/>
      <c r="AG9" s="766"/>
      <c r="AH9" s="766"/>
      <c r="AI9" s="763"/>
    </row>
    <row r="10" spans="1:35" ht="15.75" customHeight="1" thickBot="1" x14ac:dyDescent="0.35">
      <c r="A10" s="780"/>
      <c r="B10" s="779"/>
      <c r="C10" s="779"/>
      <c r="D10" s="594"/>
      <c r="E10" s="595">
        <f>SUM(E6:E9)</f>
        <v>649566.84319211321</v>
      </c>
      <c r="F10" s="595">
        <f>SUM(F6:F9)</f>
        <v>1146718.1591746167</v>
      </c>
      <c r="G10" s="595">
        <f>SUM(G6:G9)</f>
        <v>841964.07892840158</v>
      </c>
      <c r="Q10" s="1108"/>
      <c r="R10" s="1111" t="s">
        <v>51</v>
      </c>
      <c r="S10" s="1111" t="s">
        <v>169</v>
      </c>
      <c r="T10" s="423" t="s">
        <v>118</v>
      </c>
      <c r="U10" s="424">
        <v>0</v>
      </c>
      <c r="V10" s="425">
        <v>0</v>
      </c>
      <c r="W10" s="425">
        <v>0</v>
      </c>
      <c r="X10" s="425">
        <v>0</v>
      </c>
      <c r="Y10" s="425">
        <v>0</v>
      </c>
      <c r="Z10" s="426">
        <v>0</v>
      </c>
      <c r="AA10" s="598"/>
      <c r="AE10" s="770"/>
      <c r="AF10" s="769"/>
      <c r="AG10" s="769"/>
      <c r="AH10" s="769"/>
      <c r="AI10" s="763"/>
    </row>
    <row r="11" spans="1:35" ht="15.75" customHeight="1" thickBot="1" x14ac:dyDescent="0.35">
      <c r="E11" s="876">
        <f>+E10/H9</f>
        <v>0.246211340618846</v>
      </c>
      <c r="F11" s="876">
        <f>+F10/H9</f>
        <v>0.43465121140559104</v>
      </c>
      <c r="G11" s="876">
        <f>+G10/H9</f>
        <v>0.31913744797556287</v>
      </c>
      <c r="I11" s="876">
        <f>+(E6+E7)/SUM($E$6:$G$7)</f>
        <v>0.2493701107313688</v>
      </c>
      <c r="J11" s="876">
        <f t="shared" ref="J11:K11" si="1">+(F6+F7)/SUM($E$6:$G$7)</f>
        <v>0.44021176542791052</v>
      </c>
      <c r="K11" s="876">
        <f t="shared" si="1"/>
        <v>0.31041812384072071</v>
      </c>
      <c r="Q11" s="1109"/>
      <c r="R11" s="1112"/>
      <c r="S11" s="1112"/>
      <c r="T11" s="427" t="s">
        <v>119</v>
      </c>
      <c r="U11" s="428">
        <v>314.45861182519855</v>
      </c>
      <c r="V11" s="429">
        <v>0</v>
      </c>
      <c r="W11" s="429">
        <v>314.45861182519855</v>
      </c>
      <c r="X11" s="429">
        <v>2493.9526696258936</v>
      </c>
      <c r="Y11" s="429">
        <v>12669.835289510953</v>
      </c>
      <c r="Z11" s="430">
        <v>12186.523584635248</v>
      </c>
      <c r="AA11" s="598"/>
      <c r="AB11" s="44"/>
      <c r="AE11" s="728"/>
      <c r="AF11" s="765"/>
      <c r="AG11" s="766"/>
      <c r="AH11" s="766"/>
      <c r="AI11" s="763"/>
    </row>
    <row r="12" spans="1:35" ht="15.75" customHeight="1" thickTop="1" x14ac:dyDescent="0.3">
      <c r="E12" s="44">
        <f>+E6+E7</f>
        <v>648736.56956027239</v>
      </c>
      <c r="F12" s="44">
        <f>+F6+F7</f>
        <v>1145211.3075869523</v>
      </c>
      <c r="G12" s="44">
        <f>+G6+G7</f>
        <v>807553.0311116511</v>
      </c>
      <c r="I12" s="44"/>
      <c r="V12" s="44"/>
      <c r="X12" s="44"/>
      <c r="Z12" s="44"/>
      <c r="AC12" s="598"/>
      <c r="AF12" s="765"/>
      <c r="AG12" s="765"/>
      <c r="AH12" s="765"/>
      <c r="AI12" s="763"/>
    </row>
    <row r="13" spans="1:35" ht="15.75" customHeight="1" thickBot="1" x14ac:dyDescent="0.35">
      <c r="E13" s="627">
        <f>SUM(E6:E9)</f>
        <v>649566.84319211321</v>
      </c>
      <c r="F13" s="627">
        <f>SUM(F6:F9)</f>
        <v>1146718.1591746167</v>
      </c>
      <c r="G13" s="627">
        <f>SUM(G6:G9)</f>
        <v>841964.07892840158</v>
      </c>
      <c r="H13" s="44">
        <f>SUM(E13:G13)</f>
        <v>2638249.0812951317</v>
      </c>
      <c r="V13" s="44"/>
      <c r="X13" s="44"/>
      <c r="Z13" s="44"/>
      <c r="AC13" s="598"/>
    </row>
    <row r="14" spans="1:35" ht="15.75" customHeight="1" thickBot="1" x14ac:dyDescent="0.35">
      <c r="A14" s="1204" t="s">
        <v>157</v>
      </c>
      <c r="B14" s="1205"/>
      <c r="C14" s="1205"/>
      <c r="D14" s="1206"/>
      <c r="E14" s="1218" t="s">
        <v>82</v>
      </c>
      <c r="F14" s="1219"/>
      <c r="G14" s="1219"/>
      <c r="H14" s="1219"/>
      <c r="I14" s="1219"/>
      <c r="J14" s="1220"/>
      <c r="K14" s="598"/>
      <c r="W14" s="875"/>
      <c r="AC14" s="598"/>
    </row>
    <row r="15" spans="1:35" ht="15" thickBot="1" x14ac:dyDescent="0.35">
      <c r="A15" s="1146"/>
      <c r="B15" s="1149"/>
      <c r="C15" s="1149"/>
      <c r="D15" s="1155"/>
      <c r="E15" s="1160" t="s">
        <v>158</v>
      </c>
      <c r="F15" s="1161"/>
      <c r="G15" s="1162"/>
      <c r="H15" s="1163" t="s">
        <v>159</v>
      </c>
      <c r="I15" s="1161"/>
      <c r="J15" s="1164"/>
      <c r="K15" s="598"/>
      <c r="Q15" s="1204" t="s">
        <v>157</v>
      </c>
      <c r="R15" s="1205"/>
      <c r="S15" s="1205"/>
      <c r="T15" s="1205"/>
      <c r="U15" s="1205"/>
      <c r="V15" s="1206"/>
      <c r="W15" s="1187" t="s">
        <v>105</v>
      </c>
      <c r="X15" s="1188"/>
      <c r="Y15" s="1188"/>
      <c r="Z15" s="1188"/>
      <c r="AA15" s="1188"/>
      <c r="AB15" s="1188"/>
      <c r="AC15" s="1188"/>
      <c r="AD15" s="1188"/>
      <c r="AE15" s="1188"/>
      <c r="AF15" s="1188"/>
      <c r="AG15" s="1188"/>
      <c r="AH15" s="1189"/>
      <c r="AI15" s="598"/>
    </row>
    <row r="16" spans="1:35" x14ac:dyDescent="0.3">
      <c r="A16" s="1146"/>
      <c r="B16" s="1149"/>
      <c r="C16" s="1149"/>
      <c r="D16" s="1155"/>
      <c r="E16" s="1160" t="s">
        <v>104</v>
      </c>
      <c r="F16" s="1161"/>
      <c r="G16" s="1162"/>
      <c r="H16" s="1163" t="s">
        <v>104</v>
      </c>
      <c r="I16" s="1161"/>
      <c r="J16" s="1164"/>
      <c r="K16" s="598"/>
      <c r="Q16" s="1146"/>
      <c r="R16" s="1149"/>
      <c r="S16" s="1149"/>
      <c r="T16" s="1149"/>
      <c r="U16" s="1149"/>
      <c r="V16" s="1155"/>
      <c r="W16" s="1190" t="s">
        <v>106</v>
      </c>
      <c r="X16" s="1191"/>
      <c r="Y16" s="1191"/>
      <c r="Z16" s="1191"/>
      <c r="AA16" s="1191"/>
      <c r="AB16" s="1192"/>
      <c r="AC16" s="1193" t="s">
        <v>107</v>
      </c>
      <c r="AD16" s="1191"/>
      <c r="AE16" s="1191"/>
      <c r="AF16" s="1191"/>
      <c r="AG16" s="1191"/>
      <c r="AH16" s="1194"/>
      <c r="AI16" s="598"/>
    </row>
    <row r="17" spans="1:35" ht="15.75" customHeight="1" thickBot="1" x14ac:dyDescent="0.35">
      <c r="A17" s="1146"/>
      <c r="B17" s="1149"/>
      <c r="C17" s="1149"/>
      <c r="D17" s="1155"/>
      <c r="E17" s="781" t="s">
        <v>92</v>
      </c>
      <c r="F17" s="784" t="s">
        <v>6</v>
      </c>
      <c r="G17" s="784" t="s">
        <v>93</v>
      </c>
      <c r="H17" s="784" t="s">
        <v>92</v>
      </c>
      <c r="I17" s="784" t="s">
        <v>6</v>
      </c>
      <c r="J17" s="782" t="s">
        <v>93</v>
      </c>
      <c r="K17" s="598"/>
      <c r="Q17" s="1146"/>
      <c r="R17" s="1149"/>
      <c r="S17" s="1149"/>
      <c r="T17" s="1149"/>
      <c r="U17" s="1149"/>
      <c r="V17" s="1155"/>
      <c r="W17" s="1195" t="s">
        <v>168</v>
      </c>
      <c r="X17" s="1196"/>
      <c r="Y17" s="1196"/>
      <c r="Z17" s="1196"/>
      <c r="AA17" s="1196"/>
      <c r="AB17" s="1197"/>
      <c r="AC17" s="1198" t="s">
        <v>168</v>
      </c>
      <c r="AD17" s="1196"/>
      <c r="AE17" s="1196"/>
      <c r="AF17" s="1196"/>
      <c r="AG17" s="1196"/>
      <c r="AH17" s="1199"/>
      <c r="AI17" s="598"/>
    </row>
    <row r="18" spans="1:35" ht="15" thickBot="1" x14ac:dyDescent="0.35">
      <c r="A18" s="1147"/>
      <c r="B18" s="1151"/>
      <c r="C18" s="1151"/>
      <c r="D18" s="1156"/>
      <c r="E18" s="587" t="s">
        <v>40</v>
      </c>
      <c r="F18" s="588" t="s">
        <v>40</v>
      </c>
      <c r="G18" s="588" t="s">
        <v>40</v>
      </c>
      <c r="H18" s="588" t="s">
        <v>40</v>
      </c>
      <c r="I18" s="588" t="s">
        <v>40</v>
      </c>
      <c r="J18" s="589" t="s">
        <v>40</v>
      </c>
      <c r="K18" s="598"/>
      <c r="Q18" s="1146"/>
      <c r="R18" s="1149"/>
      <c r="S18" s="1149"/>
      <c r="T18" s="1149"/>
      <c r="U18" s="1149"/>
      <c r="V18" s="1149"/>
      <c r="W18" s="1200" t="s">
        <v>158</v>
      </c>
      <c r="X18" s="1201"/>
      <c r="Y18" s="1202"/>
      <c r="Z18" s="1203" t="s">
        <v>159</v>
      </c>
      <c r="AA18" s="1201"/>
      <c r="AB18" s="1202"/>
      <c r="AC18" s="1200" t="s">
        <v>158</v>
      </c>
      <c r="AD18" s="1201"/>
      <c r="AE18" s="1202"/>
      <c r="AF18" s="1200" t="s">
        <v>159</v>
      </c>
      <c r="AG18" s="1201"/>
      <c r="AH18" s="1202"/>
      <c r="AI18" s="598"/>
    </row>
    <row r="19" spans="1:35" ht="15.75" customHeight="1" thickBot="1" x14ac:dyDescent="0.35">
      <c r="A19" s="1207" t="s">
        <v>160</v>
      </c>
      <c r="B19" s="1229" t="s">
        <v>122</v>
      </c>
      <c r="C19" s="1229" t="s">
        <v>130</v>
      </c>
      <c r="D19" s="719" t="s">
        <v>43</v>
      </c>
      <c r="E19" s="720">
        <v>103859.40423154908</v>
      </c>
      <c r="F19" s="721">
        <v>613056.59728687152</v>
      </c>
      <c r="G19" s="721">
        <v>788325.834526908</v>
      </c>
      <c r="H19" s="721">
        <v>111548.99863870455</v>
      </c>
      <c r="I19" s="721">
        <v>660064.30503912852</v>
      </c>
      <c r="J19" s="722">
        <v>855129.36685432505</v>
      </c>
      <c r="K19" s="626">
        <f>SUM(E19:J20)</f>
        <v>10011582.448092047</v>
      </c>
      <c r="Q19" s="1146"/>
      <c r="R19" s="1149"/>
      <c r="S19" s="1149"/>
      <c r="T19" s="1149"/>
      <c r="U19" s="1149"/>
      <c r="V19" s="1149"/>
      <c r="W19" s="1200" t="s">
        <v>120</v>
      </c>
      <c r="X19" s="1201"/>
      <c r="Y19" s="1202"/>
      <c r="Z19" s="1203" t="s">
        <v>120</v>
      </c>
      <c r="AA19" s="1201"/>
      <c r="AB19" s="1202"/>
      <c r="AC19" s="1200" t="s">
        <v>120</v>
      </c>
      <c r="AD19" s="1201"/>
      <c r="AE19" s="1202"/>
      <c r="AF19" s="1200" t="s">
        <v>120</v>
      </c>
      <c r="AG19" s="1201"/>
      <c r="AH19" s="1202"/>
      <c r="AI19" s="598"/>
    </row>
    <row r="20" spans="1:35" ht="15" customHeight="1" x14ac:dyDescent="0.3">
      <c r="A20" s="1146"/>
      <c r="B20" s="1149"/>
      <c r="C20" s="1149"/>
      <c r="D20" s="590" t="s">
        <v>42</v>
      </c>
      <c r="E20" s="591">
        <v>1079513.6522629734</v>
      </c>
      <c r="F20" s="592">
        <v>1590230.2593453415</v>
      </c>
      <c r="G20" s="592">
        <v>693790.15860972833</v>
      </c>
      <c r="H20" s="592">
        <v>1111398.6754525173</v>
      </c>
      <c r="I20" s="592">
        <v>1704720.1389943061</v>
      </c>
      <c r="J20" s="593">
        <v>699945.05684969469</v>
      </c>
      <c r="K20" s="598"/>
      <c r="Q20" s="1146"/>
      <c r="R20" s="1149"/>
      <c r="S20" s="1149"/>
      <c r="T20" s="1149"/>
      <c r="U20" s="1149"/>
      <c r="V20" s="1149"/>
      <c r="W20" s="783" t="s">
        <v>92</v>
      </c>
      <c r="X20" s="784" t="s">
        <v>6</v>
      </c>
      <c r="Y20" s="735" t="s">
        <v>93</v>
      </c>
      <c r="Z20" s="783" t="s">
        <v>92</v>
      </c>
      <c r="AA20" s="784" t="s">
        <v>6</v>
      </c>
      <c r="AB20" s="735" t="s">
        <v>93</v>
      </c>
      <c r="AC20" s="783" t="s">
        <v>92</v>
      </c>
      <c r="AD20" s="784" t="s">
        <v>6</v>
      </c>
      <c r="AE20" s="735" t="s">
        <v>93</v>
      </c>
      <c r="AF20" s="783" t="s">
        <v>92</v>
      </c>
      <c r="AG20" s="784" t="s">
        <v>6</v>
      </c>
      <c r="AH20" s="735" t="s">
        <v>93</v>
      </c>
      <c r="AI20" s="598"/>
    </row>
    <row r="21" spans="1:35" ht="15.75" customHeight="1" thickBot="1" x14ac:dyDescent="0.35">
      <c r="A21" s="1146"/>
      <c r="B21" s="1150" t="s">
        <v>123</v>
      </c>
      <c r="C21" s="1150" t="s">
        <v>130</v>
      </c>
      <c r="D21" s="590" t="s">
        <v>42</v>
      </c>
      <c r="E21" s="591">
        <v>0</v>
      </c>
      <c r="F21" s="592">
        <v>0</v>
      </c>
      <c r="G21" s="592">
        <v>0</v>
      </c>
      <c r="H21" s="592">
        <v>0</v>
      </c>
      <c r="I21" s="592">
        <v>0</v>
      </c>
      <c r="J21" s="593">
        <v>0</v>
      </c>
      <c r="K21" s="598"/>
      <c r="Q21" s="1147"/>
      <c r="R21" s="1149"/>
      <c r="S21" s="1149"/>
      <c r="T21" s="1149"/>
      <c r="U21" s="1149"/>
      <c r="V21" s="1149"/>
      <c r="W21" s="743" t="s">
        <v>40</v>
      </c>
      <c r="X21" s="624" t="s">
        <v>40</v>
      </c>
      <c r="Y21" s="744" t="s">
        <v>40</v>
      </c>
      <c r="Z21" s="743" t="s">
        <v>40</v>
      </c>
      <c r="AA21" s="624" t="s">
        <v>40</v>
      </c>
      <c r="AB21" s="744" t="s">
        <v>40</v>
      </c>
      <c r="AC21" s="743" t="s">
        <v>40</v>
      </c>
      <c r="AD21" s="624" t="s">
        <v>40</v>
      </c>
      <c r="AE21" s="744" t="s">
        <v>40</v>
      </c>
      <c r="AF21" s="743" t="s">
        <v>40</v>
      </c>
      <c r="AG21" s="624" t="s">
        <v>40</v>
      </c>
      <c r="AH21" s="744" t="s">
        <v>40</v>
      </c>
      <c r="AI21" s="598"/>
    </row>
    <row r="22" spans="1:35" ht="15.75" customHeight="1" thickBot="1" x14ac:dyDescent="0.35">
      <c r="A22" s="1147"/>
      <c r="B22" s="1151"/>
      <c r="C22" s="1151"/>
      <c r="D22" s="594" t="s">
        <v>43</v>
      </c>
      <c r="E22" s="595">
        <v>770.99511050216518</v>
      </c>
      <c r="F22" s="596">
        <v>874.12857563930834</v>
      </c>
      <c r="G22" s="596">
        <v>28813.969135620628</v>
      </c>
      <c r="H22" s="596">
        <v>889.55233759945236</v>
      </c>
      <c r="I22" s="596">
        <v>2931.4907980748217</v>
      </c>
      <c r="J22" s="597">
        <v>27832.415950402166</v>
      </c>
      <c r="K22" s="626">
        <f>SUM(E21:J22)</f>
        <v>62112.551907838541</v>
      </c>
      <c r="Q22" s="1207" t="s">
        <v>160</v>
      </c>
      <c r="R22" s="1208">
        <v>1</v>
      </c>
      <c r="S22" s="1209" t="s">
        <v>167</v>
      </c>
      <c r="T22" s="1209">
        <v>2</v>
      </c>
      <c r="U22" s="1209" t="s">
        <v>124</v>
      </c>
      <c r="V22" s="745" t="s">
        <v>122</v>
      </c>
      <c r="W22" s="746">
        <v>323.21975968630085</v>
      </c>
      <c r="X22" s="747">
        <v>5467.3562630124961</v>
      </c>
      <c r="Y22" s="748">
        <v>14305.554121312878</v>
      </c>
      <c r="Z22" s="746">
        <v>760.86665048979205</v>
      </c>
      <c r="AA22" s="747">
        <v>4048.5775693971318</v>
      </c>
      <c r="AB22" s="748">
        <v>17939.31403771001</v>
      </c>
      <c r="AC22" s="746">
        <v>782.11104211032932</v>
      </c>
      <c r="AD22" s="747">
        <v>4946.2615526469317</v>
      </c>
      <c r="AE22" s="748">
        <v>9496.1362986998338</v>
      </c>
      <c r="AF22" s="746">
        <v>1280.5868535992231</v>
      </c>
      <c r="AG22" s="747">
        <v>2837.9441177363519</v>
      </c>
      <c r="AH22" s="748">
        <v>12690.158655554058</v>
      </c>
      <c r="AI22" s="598"/>
    </row>
    <row r="23" spans="1:35" x14ac:dyDescent="0.3">
      <c r="E23" s="44">
        <f>+SUM(E19:E22,H19:H22)</f>
        <v>2407981.2780338461</v>
      </c>
      <c r="F23" s="44">
        <f>+SUM(F19:F22,I19:I22)</f>
        <v>4571876.9200393623</v>
      </c>
      <c r="G23" s="44">
        <f>+SUM(G19:G22,J19:J22)</f>
        <v>3093836.801926679</v>
      </c>
      <c r="H23" s="44">
        <f>SUM(E23:G23)</f>
        <v>10073694.999999888</v>
      </c>
      <c r="Q23" s="1146"/>
      <c r="R23" s="1170"/>
      <c r="S23" s="1149"/>
      <c r="T23" s="1149"/>
      <c r="U23" s="1149"/>
      <c r="V23" s="733" t="s">
        <v>123</v>
      </c>
      <c r="W23" s="736">
        <v>1775.5644014787961</v>
      </c>
      <c r="X23" s="732">
        <v>19820.393067218742</v>
      </c>
      <c r="Y23" s="737">
        <v>53184.113765968686</v>
      </c>
      <c r="Z23" s="736">
        <v>2634.4582101500901</v>
      </c>
      <c r="AA23" s="732">
        <v>19200.615186269853</v>
      </c>
      <c r="AB23" s="737">
        <v>49057.061399657796</v>
      </c>
      <c r="AC23" s="736">
        <v>3480.7541583725265</v>
      </c>
      <c r="AD23" s="732">
        <v>22971.5832971007</v>
      </c>
      <c r="AE23" s="737">
        <v>36901.40850571014</v>
      </c>
      <c r="AF23" s="736">
        <v>1554.6022060937569</v>
      </c>
      <c r="AG23" s="732">
        <v>18872.764414422225</v>
      </c>
      <c r="AH23" s="737">
        <v>33638.0535994698</v>
      </c>
      <c r="AI23" s="598"/>
    </row>
    <row r="24" spans="1:35" x14ac:dyDescent="0.3">
      <c r="E24" s="777">
        <f>+SUM(E19:E20,H19:H20)</f>
        <v>2406320.7305857446</v>
      </c>
      <c r="F24" s="777">
        <f>+SUM(F19:F20,I19:I20)</f>
        <v>4568071.3006656477</v>
      </c>
      <c r="G24" s="777">
        <f>+SUM(G19:G20,J19:J20)</f>
        <v>3037190.4168406562</v>
      </c>
      <c r="H24" s="44">
        <f>SUM(E24:G24)</f>
        <v>10011582.448092049</v>
      </c>
      <c r="I24" s="44"/>
      <c r="J24" s="44"/>
      <c r="Q24" s="1146"/>
      <c r="R24" s="1170"/>
      <c r="S24" s="1149"/>
      <c r="T24" s="1149"/>
      <c r="U24" s="1149"/>
      <c r="V24" s="733" t="s">
        <v>125</v>
      </c>
      <c r="W24" s="736">
        <v>1884.1016303519818</v>
      </c>
      <c r="X24" s="732">
        <v>12757.345184002897</v>
      </c>
      <c r="Y24" s="737">
        <v>44000.5613128634</v>
      </c>
      <c r="Z24" s="736">
        <v>746.57911720770085</v>
      </c>
      <c r="AA24" s="732">
        <v>16555.65775138354</v>
      </c>
      <c r="AB24" s="737">
        <v>43784.403386961763</v>
      </c>
      <c r="AC24" s="736">
        <v>3664.1030594838471</v>
      </c>
      <c r="AD24" s="732">
        <v>17592.148670332062</v>
      </c>
      <c r="AE24" s="737">
        <v>33550.241194476832</v>
      </c>
      <c r="AF24" s="736">
        <v>4057.3703309147513</v>
      </c>
      <c r="AG24" s="732">
        <v>19156.194864026838</v>
      </c>
      <c r="AH24" s="737">
        <v>28814.282013806507</v>
      </c>
      <c r="AI24" s="598"/>
    </row>
    <row r="25" spans="1:35" x14ac:dyDescent="0.3">
      <c r="G25" s="44">
        <f t="shared" ref="G25:L25" si="2">SUM(G33:G38,G40:G45)</f>
        <v>1161521.5504248389</v>
      </c>
      <c r="H25" s="44">
        <f t="shared" si="2"/>
        <v>2115279.5506758573</v>
      </c>
      <c r="I25" s="44">
        <f t="shared" si="2"/>
        <v>1412323.4894289407</v>
      </c>
      <c r="J25" s="44">
        <f t="shared" si="2"/>
        <v>1189644.7285309052</v>
      </c>
      <c r="K25" s="44">
        <f t="shared" si="2"/>
        <v>2289179.8096311642</v>
      </c>
      <c r="L25" s="44">
        <f t="shared" si="2"/>
        <v>1480828.2470948221</v>
      </c>
      <c r="M25" s="756">
        <f>+G25+H25+I25+J25+K25+L25</f>
        <v>9648777.375786528</v>
      </c>
      <c r="Q25" s="1146"/>
      <c r="R25" s="1170"/>
      <c r="S25" s="1149"/>
      <c r="T25" s="1149"/>
      <c r="U25" s="1149"/>
      <c r="V25" s="733" t="s">
        <v>126</v>
      </c>
      <c r="W25" s="736">
        <v>2101.1043851023824</v>
      </c>
      <c r="X25" s="732">
        <v>20268.850738467398</v>
      </c>
      <c r="Y25" s="737">
        <v>50217.952539134109</v>
      </c>
      <c r="Z25" s="736">
        <v>2589.9779093914494</v>
      </c>
      <c r="AA25" s="732">
        <v>27145.284143593373</v>
      </c>
      <c r="AB25" s="737">
        <v>52794.619242014734</v>
      </c>
      <c r="AC25" s="736">
        <v>2798.768092005429</v>
      </c>
      <c r="AD25" s="732">
        <v>24388.917946826758</v>
      </c>
      <c r="AE25" s="737">
        <v>45072.09241835164</v>
      </c>
      <c r="AF25" s="736">
        <v>4032.4985015147099</v>
      </c>
      <c r="AG25" s="732">
        <v>21717.76357512283</v>
      </c>
      <c r="AH25" s="737">
        <v>49519.9711493832</v>
      </c>
      <c r="AI25" s="598"/>
    </row>
    <row r="26" spans="1:35" ht="15" thickBot="1" x14ac:dyDescent="0.35">
      <c r="G26" s="325">
        <f>+G25+J25</f>
        <v>2351166.2789557441</v>
      </c>
      <c r="H26" s="325">
        <f>+H25+K25</f>
        <v>4404459.3603070211</v>
      </c>
      <c r="I26" s="325">
        <f>+I25+L25</f>
        <v>2893151.7365237628</v>
      </c>
      <c r="M26" s="758"/>
      <c r="Q26" s="1146"/>
      <c r="R26" s="1170"/>
      <c r="S26" s="1149"/>
      <c r="T26" s="1149"/>
      <c r="U26" s="1149"/>
      <c r="V26" s="733" t="s">
        <v>127</v>
      </c>
      <c r="W26" s="736">
        <v>2184.9054980556903</v>
      </c>
      <c r="X26" s="732">
        <v>21281.987631929071</v>
      </c>
      <c r="Y26" s="737">
        <v>47782.264912553241</v>
      </c>
      <c r="Z26" s="736">
        <v>3856.2110560397296</v>
      </c>
      <c r="AA26" s="732">
        <v>27216.867315945674</v>
      </c>
      <c r="AB26" s="737">
        <v>65188.092194743142</v>
      </c>
      <c r="AC26" s="736">
        <v>4955.6873728802175</v>
      </c>
      <c r="AD26" s="732">
        <v>24588.506552095612</v>
      </c>
      <c r="AE26" s="737">
        <v>40476.307755761976</v>
      </c>
      <c r="AF26" s="736">
        <v>6063.4448844966682</v>
      </c>
      <c r="AG26" s="732">
        <v>31081.429973916573</v>
      </c>
      <c r="AH26" s="737">
        <v>54648.638323753177</v>
      </c>
      <c r="AI26" s="598"/>
    </row>
    <row r="27" spans="1:35" ht="15" thickBot="1" x14ac:dyDescent="0.35">
      <c r="A27" s="1204" t="s">
        <v>157</v>
      </c>
      <c r="B27" s="1205"/>
      <c r="C27" s="1205"/>
      <c r="D27" s="1205"/>
      <c r="E27" s="1205"/>
      <c r="F27" s="1206"/>
      <c r="G27" s="1218" t="s">
        <v>82</v>
      </c>
      <c r="H27" s="1219"/>
      <c r="I27" s="1219"/>
      <c r="J27" s="1219"/>
      <c r="K27" s="1219"/>
      <c r="L27" s="1220"/>
      <c r="M27" s="598"/>
      <c r="Q27" s="1146"/>
      <c r="R27" s="1170"/>
      <c r="S27" s="1149"/>
      <c r="T27" s="1149"/>
      <c r="U27" s="1149"/>
      <c r="V27" s="733" t="s">
        <v>128</v>
      </c>
      <c r="W27" s="736">
        <v>1720.6138254430784</v>
      </c>
      <c r="X27" s="732">
        <v>21716.94883018114</v>
      </c>
      <c r="Y27" s="737">
        <v>41207.336223715087</v>
      </c>
      <c r="Z27" s="736">
        <v>2236.543644456498</v>
      </c>
      <c r="AA27" s="732">
        <v>22320.338136127739</v>
      </c>
      <c r="AB27" s="737">
        <v>47664.629744475671</v>
      </c>
      <c r="AC27" s="736">
        <v>5301.3521854333067</v>
      </c>
      <c r="AD27" s="732">
        <v>21663.689763744478</v>
      </c>
      <c r="AE27" s="737">
        <v>33012.324918601502</v>
      </c>
      <c r="AF27" s="736">
        <v>6182.4296069859492</v>
      </c>
      <c r="AG27" s="732">
        <v>29978.584453598804</v>
      </c>
      <c r="AH27" s="737">
        <v>35902.40122854957</v>
      </c>
      <c r="AI27" s="598"/>
    </row>
    <row r="28" spans="1:35" x14ac:dyDescent="0.3">
      <c r="A28" s="1146"/>
      <c r="B28" s="1149"/>
      <c r="C28" s="1149"/>
      <c r="D28" s="1149"/>
      <c r="E28" s="1149"/>
      <c r="F28" s="1155"/>
      <c r="G28" s="1160" t="s">
        <v>158</v>
      </c>
      <c r="H28" s="1161"/>
      <c r="I28" s="1162"/>
      <c r="J28" s="1163" t="s">
        <v>159</v>
      </c>
      <c r="K28" s="1161"/>
      <c r="L28" s="1164"/>
      <c r="M28" s="598"/>
      <c r="Q28" s="1146"/>
      <c r="R28" s="1170"/>
      <c r="S28" s="1149"/>
      <c r="T28" s="1149"/>
      <c r="U28" s="1149"/>
      <c r="V28" s="733" t="s">
        <v>129</v>
      </c>
      <c r="W28" s="736">
        <v>2720.7732789246734</v>
      </c>
      <c r="X28" s="732">
        <v>27722.17836087845</v>
      </c>
      <c r="Y28" s="737">
        <v>51385.344538673409</v>
      </c>
      <c r="Z28" s="736">
        <v>3820.9087687055066</v>
      </c>
      <c r="AA28" s="732">
        <v>30794.193530446857</v>
      </c>
      <c r="AB28" s="737">
        <v>53207.201771703316</v>
      </c>
      <c r="AC28" s="736">
        <v>6383.5124287767785</v>
      </c>
      <c r="AD28" s="732">
        <v>22489.825683896761</v>
      </c>
      <c r="AE28" s="737">
        <v>36155.633440357567</v>
      </c>
      <c r="AF28" s="736">
        <v>6868.200900249336</v>
      </c>
      <c r="AG28" s="732">
        <v>28238.447877010713</v>
      </c>
      <c r="AH28" s="737">
        <v>40763.089911043309</v>
      </c>
      <c r="AI28" s="598"/>
    </row>
    <row r="29" spans="1:35" x14ac:dyDescent="0.3">
      <c r="A29" s="1146"/>
      <c r="B29" s="1149"/>
      <c r="C29" s="1149"/>
      <c r="D29" s="1149"/>
      <c r="E29" s="1149"/>
      <c r="F29" s="1155"/>
      <c r="G29" s="1160" t="s">
        <v>104</v>
      </c>
      <c r="H29" s="1161"/>
      <c r="I29" s="1162"/>
      <c r="J29" s="1163" t="s">
        <v>104</v>
      </c>
      <c r="K29" s="1161"/>
      <c r="L29" s="1164"/>
      <c r="M29" s="598"/>
      <c r="Q29" s="1146"/>
      <c r="R29" s="1170"/>
      <c r="S29" s="1149"/>
      <c r="T29" s="1174">
        <v>1</v>
      </c>
      <c r="U29" s="1174" t="s">
        <v>124</v>
      </c>
      <c r="V29" s="734" t="s">
        <v>122</v>
      </c>
      <c r="W29" s="738">
        <v>2146.2668440584775</v>
      </c>
      <c r="X29" s="731">
        <v>8747.0365427688848</v>
      </c>
      <c r="Y29" s="739">
        <v>5813.6671207616973</v>
      </c>
      <c r="Z29" s="738">
        <v>1812.6408221529814</v>
      </c>
      <c r="AA29" s="731">
        <v>3576.7181378912614</v>
      </c>
      <c r="AB29" s="739">
        <v>4400.4358280778461</v>
      </c>
      <c r="AC29" s="738">
        <v>3797.7736619680013</v>
      </c>
      <c r="AD29" s="731">
        <v>5323.2502150647033</v>
      </c>
      <c r="AE29" s="739">
        <v>2897.6005429637212</v>
      </c>
      <c r="AF29" s="738">
        <v>2878.5564851080171</v>
      </c>
      <c r="AG29" s="731">
        <v>7427.3895469605104</v>
      </c>
      <c r="AH29" s="739">
        <v>3547.0708626126038</v>
      </c>
      <c r="AI29" s="598"/>
    </row>
    <row r="30" spans="1:35" x14ac:dyDescent="0.3">
      <c r="A30" s="1146"/>
      <c r="B30" s="1149"/>
      <c r="C30" s="1149"/>
      <c r="D30" s="1149"/>
      <c r="E30" s="1149"/>
      <c r="F30" s="1155"/>
      <c r="G30" s="781" t="s">
        <v>92</v>
      </c>
      <c r="H30" s="784" t="s">
        <v>6</v>
      </c>
      <c r="I30" s="784" t="s">
        <v>93</v>
      </c>
      <c r="J30" s="784" t="s">
        <v>92</v>
      </c>
      <c r="K30" s="784" t="s">
        <v>6</v>
      </c>
      <c r="L30" s="782" t="s">
        <v>93</v>
      </c>
      <c r="M30" s="598"/>
      <c r="Q30" s="1146"/>
      <c r="R30" s="1170"/>
      <c r="S30" s="1149"/>
      <c r="T30" s="1149"/>
      <c r="U30" s="1149"/>
      <c r="V30" s="733" t="s">
        <v>123</v>
      </c>
      <c r="W30" s="736">
        <v>10697.299111558086</v>
      </c>
      <c r="X30" s="732">
        <v>31368.228577265669</v>
      </c>
      <c r="Y30" s="737">
        <v>20863.129690721613</v>
      </c>
      <c r="Z30" s="736">
        <v>9633.1759730559424</v>
      </c>
      <c r="AA30" s="732">
        <v>29365.142393068414</v>
      </c>
      <c r="AB30" s="737">
        <v>18483.052502545244</v>
      </c>
      <c r="AC30" s="736">
        <v>20764.586632590563</v>
      </c>
      <c r="AD30" s="732">
        <v>21867.172223084588</v>
      </c>
      <c r="AE30" s="737">
        <v>13993.249412219944</v>
      </c>
      <c r="AF30" s="736">
        <v>26128.037689322067</v>
      </c>
      <c r="AG30" s="732">
        <v>18732.342720225563</v>
      </c>
      <c r="AH30" s="737">
        <v>9573.3898834583742</v>
      </c>
      <c r="AI30" s="598"/>
    </row>
    <row r="31" spans="1:35" ht="15.75" customHeight="1" thickBot="1" x14ac:dyDescent="0.35">
      <c r="A31" s="1147"/>
      <c r="B31" s="1151"/>
      <c r="C31" s="1151"/>
      <c r="D31" s="1151"/>
      <c r="E31" s="1151"/>
      <c r="F31" s="1156"/>
      <c r="G31" s="587" t="s">
        <v>40</v>
      </c>
      <c r="H31" s="588" t="s">
        <v>40</v>
      </c>
      <c r="I31" s="588" t="s">
        <v>40</v>
      </c>
      <c r="J31" s="588" t="s">
        <v>40</v>
      </c>
      <c r="K31" s="588" t="s">
        <v>40</v>
      </c>
      <c r="L31" s="589" t="s">
        <v>40</v>
      </c>
      <c r="M31" s="598"/>
      <c r="Q31" s="1146"/>
      <c r="R31" s="1170"/>
      <c r="S31" s="1149"/>
      <c r="T31" s="1149"/>
      <c r="U31" s="1149"/>
      <c r="V31" s="733" t="s">
        <v>125</v>
      </c>
      <c r="W31" s="736">
        <v>10840.477318251998</v>
      </c>
      <c r="X31" s="732">
        <v>26163.743104069763</v>
      </c>
      <c r="Y31" s="737">
        <v>14826.870328578778</v>
      </c>
      <c r="Z31" s="736">
        <v>11765.268933260868</v>
      </c>
      <c r="AA31" s="732">
        <v>28849.696990085788</v>
      </c>
      <c r="AB31" s="737">
        <v>12228.023281929427</v>
      </c>
      <c r="AC31" s="736">
        <v>20322.063316686141</v>
      </c>
      <c r="AD31" s="732">
        <v>21252.105175969078</v>
      </c>
      <c r="AE31" s="737">
        <v>7397.2715368880818</v>
      </c>
      <c r="AF31" s="736">
        <v>17995.069042393588</v>
      </c>
      <c r="AG31" s="732">
        <v>21648.58058379529</v>
      </c>
      <c r="AH31" s="737">
        <v>6798.3183413259048</v>
      </c>
      <c r="AI31" s="598"/>
    </row>
    <row r="32" spans="1:35" ht="15" thickBot="1" x14ac:dyDescent="0.35">
      <c r="A32" s="1207" t="s">
        <v>160</v>
      </c>
      <c r="B32" s="1210" t="s">
        <v>122</v>
      </c>
      <c r="C32" s="1210" t="s">
        <v>130</v>
      </c>
      <c r="D32" s="1211" t="s">
        <v>119</v>
      </c>
      <c r="E32" s="1214" t="s">
        <v>124</v>
      </c>
      <c r="F32" s="884" t="s">
        <v>122</v>
      </c>
      <c r="G32" s="885">
        <v>919.06848261465359</v>
      </c>
      <c r="H32" s="885">
        <v>34292.042162642159</v>
      </c>
      <c r="I32" s="886">
        <v>36615.72451334299</v>
      </c>
      <c r="J32" s="887">
        <v>2948.0005191029018</v>
      </c>
      <c r="K32" s="885">
        <v>15881.907539856278</v>
      </c>
      <c r="L32" s="885">
        <v>46645.264521145131</v>
      </c>
      <c r="M32" s="598"/>
      <c r="Q32" s="1146"/>
      <c r="R32" s="1170"/>
      <c r="S32" s="1149"/>
      <c r="T32" s="1149"/>
      <c r="U32" s="1149"/>
      <c r="V32" s="733" t="s">
        <v>126</v>
      </c>
      <c r="W32" s="736">
        <v>19154.735618382685</v>
      </c>
      <c r="X32" s="732">
        <v>34835.409527478332</v>
      </c>
      <c r="Y32" s="737">
        <v>18659.714011022737</v>
      </c>
      <c r="Z32" s="736">
        <v>18054.347507462102</v>
      </c>
      <c r="AA32" s="732">
        <v>43007.826235510031</v>
      </c>
      <c r="AB32" s="737">
        <v>19683.786338926333</v>
      </c>
      <c r="AC32" s="736">
        <v>25399.370439693972</v>
      </c>
      <c r="AD32" s="732">
        <v>25990.478703371533</v>
      </c>
      <c r="AE32" s="737">
        <v>12864.460586253372</v>
      </c>
      <c r="AF32" s="736">
        <v>20728.705714787902</v>
      </c>
      <c r="AG32" s="732">
        <v>25457.473640477758</v>
      </c>
      <c r="AH32" s="737">
        <v>10113.837448996768</v>
      </c>
      <c r="AI32" s="598"/>
    </row>
    <row r="33" spans="1:35" x14ac:dyDescent="0.3">
      <c r="A33" s="1146"/>
      <c r="B33" s="1185"/>
      <c r="C33" s="1185"/>
      <c r="D33" s="1212"/>
      <c r="E33" s="1215"/>
      <c r="F33" s="888" t="s">
        <v>123</v>
      </c>
      <c r="G33" s="889">
        <v>10605.068223114547</v>
      </c>
      <c r="H33" s="889">
        <v>78010.554513896408</v>
      </c>
      <c r="I33" s="890">
        <v>125929.21271832155</v>
      </c>
      <c r="J33" s="891">
        <v>11457.429136188044</v>
      </c>
      <c r="K33" s="889">
        <v>80641.185963222961</v>
      </c>
      <c r="L33" s="889">
        <v>134741.31171483867</v>
      </c>
      <c r="M33" s="598"/>
      <c r="Q33" s="1146"/>
      <c r="R33" s="1170"/>
      <c r="S33" s="1149"/>
      <c r="T33" s="1149"/>
      <c r="U33" s="1149"/>
      <c r="V33" s="733" t="s">
        <v>127</v>
      </c>
      <c r="W33" s="736">
        <v>19359.907564683417</v>
      </c>
      <c r="X33" s="732">
        <v>36517.771121621416</v>
      </c>
      <c r="Y33" s="737">
        <v>27913.134113377782</v>
      </c>
      <c r="Z33" s="736">
        <v>22284.281966587005</v>
      </c>
      <c r="AA33" s="732">
        <v>43820.582983192748</v>
      </c>
      <c r="AB33" s="737">
        <v>26685.09184467368</v>
      </c>
      <c r="AC33" s="736">
        <v>24772.120402408229</v>
      </c>
      <c r="AD33" s="732">
        <v>32491.40231462046</v>
      </c>
      <c r="AE33" s="737">
        <v>16162.619462833904</v>
      </c>
      <c r="AF33" s="736">
        <v>27808.388873783595</v>
      </c>
      <c r="AG33" s="732">
        <v>39778.752380328988</v>
      </c>
      <c r="AH33" s="737">
        <v>15736.251112167629</v>
      </c>
      <c r="AI33" s="598"/>
    </row>
    <row r="34" spans="1:35" x14ac:dyDescent="0.3">
      <c r="A34" s="1146"/>
      <c r="B34" s="1185"/>
      <c r="C34" s="1185"/>
      <c r="D34" s="1212"/>
      <c r="E34" s="1215"/>
      <c r="F34" s="888" t="s">
        <v>125</v>
      </c>
      <c r="G34" s="889">
        <v>14469.17976316147</v>
      </c>
      <c r="H34" s="889">
        <v>70745.361132025981</v>
      </c>
      <c r="I34" s="890">
        <v>76473.067076410269</v>
      </c>
      <c r="J34" s="891">
        <v>6152.6846873670156</v>
      </c>
      <c r="K34" s="889">
        <v>86498.04805111661</v>
      </c>
      <c r="L34" s="889">
        <v>101430.69092457765</v>
      </c>
      <c r="M34" s="598"/>
      <c r="Q34" s="1146"/>
      <c r="R34" s="1170"/>
      <c r="S34" s="1149"/>
      <c r="T34" s="1149"/>
      <c r="U34" s="1149"/>
      <c r="V34" s="733" t="s">
        <v>128</v>
      </c>
      <c r="W34" s="736">
        <v>12195.096463640248</v>
      </c>
      <c r="X34" s="732">
        <v>32422.178590349089</v>
      </c>
      <c r="Y34" s="737">
        <v>19505.338579654068</v>
      </c>
      <c r="Z34" s="736">
        <v>17071.249603009204</v>
      </c>
      <c r="AA34" s="732">
        <v>42037.346028496941</v>
      </c>
      <c r="AB34" s="737">
        <v>18863.252400199806</v>
      </c>
      <c r="AC34" s="736">
        <v>25413.962647013504</v>
      </c>
      <c r="AD34" s="732">
        <v>26358.62826438907</v>
      </c>
      <c r="AE34" s="737">
        <v>7821.342808374342</v>
      </c>
      <c r="AF34" s="736">
        <v>33629.000538962915</v>
      </c>
      <c r="AG34" s="732">
        <v>29471.80389460922</v>
      </c>
      <c r="AH34" s="737">
        <v>9807.0033464924982</v>
      </c>
      <c r="AI34" s="598"/>
    </row>
    <row r="35" spans="1:35" ht="15" thickBot="1" x14ac:dyDescent="0.35">
      <c r="A35" s="1146"/>
      <c r="B35" s="1185"/>
      <c r="C35" s="1185"/>
      <c r="D35" s="1212"/>
      <c r="E35" s="1215"/>
      <c r="F35" s="888" t="s">
        <v>126</v>
      </c>
      <c r="G35" s="889">
        <v>15017.817004625083</v>
      </c>
      <c r="H35" s="889">
        <v>118707.7797691568</v>
      </c>
      <c r="I35" s="890">
        <v>145098.07788755326</v>
      </c>
      <c r="J35" s="891">
        <v>20488.6347000323</v>
      </c>
      <c r="K35" s="889">
        <v>101350.1391952878</v>
      </c>
      <c r="L35" s="889">
        <v>141311.65442317456</v>
      </c>
      <c r="M35" s="598"/>
      <c r="Q35" s="1146"/>
      <c r="R35" s="1171"/>
      <c r="S35" s="1173"/>
      <c r="T35" s="1173"/>
      <c r="U35" s="1173"/>
      <c r="V35" s="749" t="s">
        <v>129</v>
      </c>
      <c r="W35" s="740">
        <v>27002.976047148557</v>
      </c>
      <c r="X35" s="741">
        <v>50571.204919868906</v>
      </c>
      <c r="Y35" s="742">
        <v>19120.794064224989</v>
      </c>
      <c r="Z35" s="740">
        <v>28306.235090911439</v>
      </c>
      <c r="AA35" s="741">
        <v>41870.246558649422</v>
      </c>
      <c r="AB35" s="742">
        <v>22517.605073042047</v>
      </c>
      <c r="AC35" s="740">
        <v>42634.203824562865</v>
      </c>
      <c r="AD35" s="741">
        <v>35129.12780336049</v>
      </c>
      <c r="AE35" s="742">
        <v>10232.904625060568</v>
      </c>
      <c r="AF35" s="740">
        <v>43117.081510977187</v>
      </c>
      <c r="AG35" s="741">
        <v>44333.78182004785</v>
      </c>
      <c r="AH35" s="742">
        <v>12269.488377376247</v>
      </c>
      <c r="AI35" s="598"/>
    </row>
    <row r="36" spans="1:35" ht="15.75" customHeight="1" thickBot="1" x14ac:dyDescent="0.35">
      <c r="A36" s="1146"/>
      <c r="B36" s="1185"/>
      <c r="C36" s="1185"/>
      <c r="D36" s="1212"/>
      <c r="E36" s="1215"/>
      <c r="F36" s="888" t="s">
        <v>127</v>
      </c>
      <c r="G36" s="889">
        <v>22932.841315161706</v>
      </c>
      <c r="H36" s="889">
        <v>103946.02414963607</v>
      </c>
      <c r="I36" s="890">
        <v>162362.70215589047</v>
      </c>
      <c r="J36" s="891">
        <v>22703.874429784468</v>
      </c>
      <c r="K36" s="889">
        <v>121664.93036507384</v>
      </c>
      <c r="L36" s="889">
        <v>161327.98738586091</v>
      </c>
      <c r="M36" s="598"/>
      <c r="Q36" s="1146"/>
      <c r="R36" s="1150">
        <v>2</v>
      </c>
      <c r="S36" s="1150" t="s">
        <v>167</v>
      </c>
      <c r="T36" s="1174">
        <v>1</v>
      </c>
      <c r="U36" s="1209" t="s">
        <v>124</v>
      </c>
      <c r="V36" s="590" t="s">
        <v>122</v>
      </c>
      <c r="W36" s="591">
        <v>0</v>
      </c>
      <c r="X36" s="592">
        <v>0</v>
      </c>
      <c r="Y36" s="592">
        <v>0</v>
      </c>
      <c r="Z36" s="592">
        <v>0</v>
      </c>
      <c r="AA36" s="592">
        <v>0</v>
      </c>
      <c r="AB36" s="592">
        <v>0</v>
      </c>
      <c r="AC36" s="592">
        <v>0</v>
      </c>
      <c r="AD36" s="592">
        <v>0</v>
      </c>
      <c r="AE36" s="592">
        <v>0</v>
      </c>
      <c r="AF36" s="592">
        <v>0</v>
      </c>
      <c r="AG36" s="592">
        <v>0</v>
      </c>
      <c r="AH36" s="593">
        <v>0</v>
      </c>
      <c r="AI36" s="598"/>
    </row>
    <row r="37" spans="1:35" x14ac:dyDescent="0.3">
      <c r="A37" s="1146"/>
      <c r="B37" s="1185"/>
      <c r="C37" s="1185"/>
      <c r="D37" s="1212"/>
      <c r="E37" s="1215"/>
      <c r="F37" s="888" t="s">
        <v>128</v>
      </c>
      <c r="G37" s="889">
        <v>21288.796521218392</v>
      </c>
      <c r="H37" s="889">
        <v>98249.769749973551</v>
      </c>
      <c r="I37" s="890">
        <v>110249.07425057588</v>
      </c>
      <c r="J37" s="891">
        <v>22150.986447909094</v>
      </c>
      <c r="K37" s="889">
        <v>115580.1671995884</v>
      </c>
      <c r="L37" s="889">
        <v>125956.55857830815</v>
      </c>
      <c r="M37" s="598"/>
      <c r="Q37" s="1146"/>
      <c r="R37" s="1149"/>
      <c r="S37" s="1149"/>
      <c r="T37" s="1149"/>
      <c r="U37" s="1174"/>
      <c r="V37" s="590" t="s">
        <v>123</v>
      </c>
      <c r="W37" s="591">
        <v>0</v>
      </c>
      <c r="X37" s="592">
        <v>0</v>
      </c>
      <c r="Y37" s="592">
        <v>0</v>
      </c>
      <c r="Z37" s="592">
        <v>0</v>
      </c>
      <c r="AA37" s="592">
        <v>0</v>
      </c>
      <c r="AB37" s="592">
        <v>0</v>
      </c>
      <c r="AC37" s="592">
        <v>0</v>
      </c>
      <c r="AD37" s="592">
        <v>0</v>
      </c>
      <c r="AE37" s="592">
        <v>0</v>
      </c>
      <c r="AF37" s="592">
        <v>0</v>
      </c>
      <c r="AG37" s="592">
        <v>0</v>
      </c>
      <c r="AH37" s="593">
        <v>0</v>
      </c>
      <c r="AI37" s="598"/>
    </row>
    <row r="38" spans="1:35" ht="15" thickBot="1" x14ac:dyDescent="0.35">
      <c r="A38" s="1146"/>
      <c r="B38" s="1185"/>
      <c r="C38" s="1185"/>
      <c r="D38" s="1213"/>
      <c r="E38" s="1216"/>
      <c r="F38" s="892" t="s">
        <v>129</v>
      </c>
      <c r="G38" s="893">
        <v>18626.632921653141</v>
      </c>
      <c r="H38" s="893">
        <v>109105.06580954019</v>
      </c>
      <c r="I38" s="894">
        <v>131597.97592481243</v>
      </c>
      <c r="J38" s="895">
        <v>25647.388718320766</v>
      </c>
      <c r="K38" s="893">
        <v>138447.92672498312</v>
      </c>
      <c r="L38" s="893">
        <v>143715.89930642245</v>
      </c>
      <c r="M38" s="598"/>
      <c r="Q38" s="1146"/>
      <c r="R38" s="1149"/>
      <c r="S38" s="1149"/>
      <c r="T38" s="1149"/>
      <c r="U38" s="1174"/>
      <c r="V38" s="590" t="s">
        <v>125</v>
      </c>
      <c r="W38" s="591">
        <v>0</v>
      </c>
      <c r="X38" s="592">
        <v>0</v>
      </c>
      <c r="Y38" s="592">
        <v>0</v>
      </c>
      <c r="Z38" s="592">
        <v>0</v>
      </c>
      <c r="AA38" s="592">
        <v>0</v>
      </c>
      <c r="AB38" s="592">
        <v>0</v>
      </c>
      <c r="AC38" s="592">
        <v>0</v>
      </c>
      <c r="AD38" s="592">
        <v>0</v>
      </c>
      <c r="AE38" s="592">
        <v>0</v>
      </c>
      <c r="AF38" s="592">
        <v>0</v>
      </c>
      <c r="AG38" s="592">
        <v>0</v>
      </c>
      <c r="AH38" s="593">
        <v>0</v>
      </c>
      <c r="AI38" s="598"/>
    </row>
    <row r="39" spans="1:35" x14ac:dyDescent="0.3">
      <c r="A39" s="1146"/>
      <c r="B39" s="1185"/>
      <c r="C39" s="1185"/>
      <c r="D39" s="1211" t="s">
        <v>118</v>
      </c>
      <c r="E39" s="1214" t="s">
        <v>124</v>
      </c>
      <c r="F39" s="884" t="s">
        <v>122</v>
      </c>
      <c r="G39" s="885">
        <v>20932.437587069551</v>
      </c>
      <c r="H39" s="885">
        <v>53715.263793712751</v>
      </c>
      <c r="I39" s="886">
        <v>33176.779194351322</v>
      </c>
      <c r="J39" s="887">
        <v>30354.94504121572</v>
      </c>
      <c r="K39" s="885">
        <v>59722.726862407297</v>
      </c>
      <c r="L39" s="885">
        <v>27600.91208805432</v>
      </c>
      <c r="M39" s="598"/>
      <c r="Q39" s="1146"/>
      <c r="R39" s="1149"/>
      <c r="S39" s="1149"/>
      <c r="T39" s="1149"/>
      <c r="U39" s="1174"/>
      <c r="V39" s="590" t="s">
        <v>126</v>
      </c>
      <c r="W39" s="591">
        <v>0</v>
      </c>
      <c r="X39" s="592">
        <v>0</v>
      </c>
      <c r="Y39" s="592">
        <v>0</v>
      </c>
      <c r="Z39" s="592">
        <v>0</v>
      </c>
      <c r="AA39" s="592">
        <v>0</v>
      </c>
      <c r="AB39" s="592">
        <v>0</v>
      </c>
      <c r="AC39" s="592">
        <v>0</v>
      </c>
      <c r="AD39" s="592">
        <v>0</v>
      </c>
      <c r="AE39" s="592">
        <v>0</v>
      </c>
      <c r="AF39" s="592">
        <v>0</v>
      </c>
      <c r="AG39" s="592">
        <v>0</v>
      </c>
      <c r="AH39" s="593">
        <v>0</v>
      </c>
      <c r="AI39" s="598"/>
    </row>
    <row r="40" spans="1:35" x14ac:dyDescent="0.3">
      <c r="A40" s="1146"/>
      <c r="B40" s="1185"/>
      <c r="C40" s="1185"/>
      <c r="D40" s="1212"/>
      <c r="E40" s="1215"/>
      <c r="F40" s="888" t="s">
        <v>123</v>
      </c>
      <c r="G40" s="889">
        <v>129702.84673384865</v>
      </c>
      <c r="H40" s="889">
        <v>234866.15474202347</v>
      </c>
      <c r="I40" s="890">
        <v>124699.39541933144</v>
      </c>
      <c r="J40" s="891">
        <v>112084.89843337788</v>
      </c>
      <c r="K40" s="889">
        <v>223354.99050893233</v>
      </c>
      <c r="L40" s="889">
        <v>116243.82187614027</v>
      </c>
      <c r="M40" s="598"/>
      <c r="Q40" s="1146"/>
      <c r="R40" s="1149"/>
      <c r="S40" s="1149"/>
      <c r="T40" s="1149"/>
      <c r="U40" s="1174"/>
      <c r="V40" s="590" t="s">
        <v>127</v>
      </c>
      <c r="W40" s="591">
        <v>0</v>
      </c>
      <c r="X40" s="592">
        <v>0</v>
      </c>
      <c r="Y40" s="592">
        <v>0</v>
      </c>
      <c r="Z40" s="592">
        <v>0</v>
      </c>
      <c r="AA40" s="592">
        <v>0</v>
      </c>
      <c r="AB40" s="592">
        <v>0</v>
      </c>
      <c r="AC40" s="592">
        <v>0</v>
      </c>
      <c r="AD40" s="592">
        <v>0</v>
      </c>
      <c r="AE40" s="592">
        <v>0</v>
      </c>
      <c r="AF40" s="592">
        <v>0</v>
      </c>
      <c r="AG40" s="592">
        <v>0</v>
      </c>
      <c r="AH40" s="593">
        <v>0</v>
      </c>
      <c r="AI40" s="598"/>
    </row>
    <row r="41" spans="1:35" x14ac:dyDescent="0.3">
      <c r="A41" s="1146"/>
      <c r="B41" s="1185"/>
      <c r="C41" s="1185"/>
      <c r="D41" s="1212"/>
      <c r="E41" s="1215"/>
      <c r="F41" s="888" t="s">
        <v>125</v>
      </c>
      <c r="G41" s="889">
        <v>124738.17910800019</v>
      </c>
      <c r="H41" s="889">
        <v>177054.89781390075</v>
      </c>
      <c r="I41" s="890">
        <v>85107.453463166588</v>
      </c>
      <c r="J41" s="891">
        <v>98392.58604844645</v>
      </c>
      <c r="K41" s="889">
        <v>180407.63986358582</v>
      </c>
      <c r="L41" s="889">
        <v>80353.543476703722</v>
      </c>
      <c r="M41" s="598"/>
      <c r="Q41" s="1146"/>
      <c r="R41" s="1149"/>
      <c r="S41" s="1149"/>
      <c r="T41" s="1149"/>
      <c r="U41" s="1174"/>
      <c r="V41" s="590" t="s">
        <v>128</v>
      </c>
      <c r="W41" s="591">
        <v>0</v>
      </c>
      <c r="X41" s="592">
        <v>0</v>
      </c>
      <c r="Y41" s="592">
        <v>0</v>
      </c>
      <c r="Z41" s="592">
        <v>0</v>
      </c>
      <c r="AA41" s="592">
        <v>0</v>
      </c>
      <c r="AB41" s="592">
        <v>0</v>
      </c>
      <c r="AC41" s="592">
        <v>0</v>
      </c>
      <c r="AD41" s="592">
        <v>0</v>
      </c>
      <c r="AE41" s="592">
        <v>0</v>
      </c>
      <c r="AF41" s="592">
        <v>0</v>
      </c>
      <c r="AG41" s="592">
        <v>0</v>
      </c>
      <c r="AH41" s="593">
        <v>0</v>
      </c>
      <c r="AI41" s="598"/>
    </row>
    <row r="42" spans="1:35" x14ac:dyDescent="0.3">
      <c r="A42" s="1146"/>
      <c r="B42" s="1185"/>
      <c r="C42" s="1185"/>
      <c r="D42" s="1212"/>
      <c r="E42" s="1215"/>
      <c r="F42" s="888" t="s">
        <v>126</v>
      </c>
      <c r="G42" s="889">
        <v>140741.44980862408</v>
      </c>
      <c r="H42" s="889">
        <v>250940.5091174515</v>
      </c>
      <c r="I42" s="890">
        <v>98258.431527072855</v>
      </c>
      <c r="J42" s="891">
        <v>161495.44121068055</v>
      </c>
      <c r="K42" s="889">
        <v>235689.52170836771</v>
      </c>
      <c r="L42" s="889">
        <v>107544.45369188218</v>
      </c>
      <c r="M42" s="598"/>
      <c r="Q42" s="1146"/>
      <c r="R42" s="1149"/>
      <c r="S42" s="1149"/>
      <c r="T42" s="1149"/>
      <c r="U42" s="1174"/>
      <c r="V42" s="590" t="s">
        <v>129</v>
      </c>
      <c r="W42" s="591">
        <v>0</v>
      </c>
      <c r="X42" s="592">
        <v>0</v>
      </c>
      <c r="Y42" s="592">
        <v>0</v>
      </c>
      <c r="Z42" s="592">
        <v>0</v>
      </c>
      <c r="AA42" s="592">
        <v>0</v>
      </c>
      <c r="AB42" s="592">
        <v>0</v>
      </c>
      <c r="AC42" s="592">
        <v>0</v>
      </c>
      <c r="AD42" s="592">
        <v>0</v>
      </c>
      <c r="AE42" s="592">
        <v>0</v>
      </c>
      <c r="AF42" s="592">
        <v>0</v>
      </c>
      <c r="AG42" s="592">
        <v>0</v>
      </c>
      <c r="AH42" s="593">
        <v>0</v>
      </c>
      <c r="AI42" s="598"/>
    </row>
    <row r="43" spans="1:35" ht="15" thickBot="1" x14ac:dyDescent="0.35">
      <c r="A43" s="1146"/>
      <c r="B43" s="1185"/>
      <c r="C43" s="1185"/>
      <c r="D43" s="1212"/>
      <c r="E43" s="1215"/>
      <c r="F43" s="888" t="s">
        <v>127</v>
      </c>
      <c r="G43" s="889">
        <v>197140.09768629418</v>
      </c>
      <c r="H43" s="889">
        <v>300946.24207647122</v>
      </c>
      <c r="I43" s="890">
        <v>148567.3634403919</v>
      </c>
      <c r="J43" s="891">
        <v>194821.12903579455</v>
      </c>
      <c r="K43" s="889">
        <v>328960.42972538632</v>
      </c>
      <c r="L43" s="889">
        <v>157673.99112515262</v>
      </c>
      <c r="M43" s="598"/>
      <c r="Q43" s="1146"/>
      <c r="R43" s="1149"/>
      <c r="S43" s="1149"/>
      <c r="T43" s="1150">
        <v>2</v>
      </c>
      <c r="U43" s="1150" t="s">
        <v>124</v>
      </c>
      <c r="V43" s="590" t="s">
        <v>122</v>
      </c>
      <c r="W43" s="591">
        <v>0</v>
      </c>
      <c r="X43" s="592">
        <v>236.57283893534108</v>
      </c>
      <c r="Y43" s="592">
        <v>968.37663428991755</v>
      </c>
      <c r="Z43" s="592">
        <v>0</v>
      </c>
      <c r="AA43" s="592">
        <v>0</v>
      </c>
      <c r="AB43" s="592">
        <v>586.23455355731153</v>
      </c>
      <c r="AC43" s="592">
        <v>0</v>
      </c>
      <c r="AD43" s="592">
        <v>0</v>
      </c>
      <c r="AE43" s="592">
        <v>0</v>
      </c>
      <c r="AF43" s="592">
        <v>0</v>
      </c>
      <c r="AG43" s="592">
        <v>0</v>
      </c>
      <c r="AH43" s="593">
        <v>1953.4052944838345</v>
      </c>
      <c r="AI43" s="598"/>
    </row>
    <row r="44" spans="1:35" ht="15" thickBot="1" x14ac:dyDescent="0.35">
      <c r="A44" s="1146"/>
      <c r="B44" s="1185"/>
      <c r="C44" s="1185"/>
      <c r="D44" s="1212"/>
      <c r="E44" s="1215"/>
      <c r="F44" s="888" t="s">
        <v>128</v>
      </c>
      <c r="G44" s="889">
        <v>189149.75143545427</v>
      </c>
      <c r="H44" s="889">
        <v>247563.40659230706</v>
      </c>
      <c r="I44" s="890">
        <v>95762.042548022509</v>
      </c>
      <c r="J44" s="891">
        <v>208191.78428367199</v>
      </c>
      <c r="K44" s="889">
        <v>292843.70490956865</v>
      </c>
      <c r="L44" s="889">
        <v>98761.610620345906</v>
      </c>
      <c r="M44" s="598"/>
      <c r="Q44" s="1146"/>
      <c r="R44" s="1149"/>
      <c r="S44" s="1149"/>
      <c r="T44" s="1150"/>
      <c r="U44" s="1150"/>
      <c r="V44" s="590" t="s">
        <v>123</v>
      </c>
      <c r="W44" s="591">
        <v>0</v>
      </c>
      <c r="X44" s="592">
        <v>0</v>
      </c>
      <c r="Y44" s="592">
        <v>3141.7027418050943</v>
      </c>
      <c r="Z44" s="592">
        <v>327.6903877201741</v>
      </c>
      <c r="AA44" s="592">
        <v>0</v>
      </c>
      <c r="AB44" s="592">
        <v>1878.9553827429988</v>
      </c>
      <c r="AC44" s="592">
        <v>0</v>
      </c>
      <c r="AD44" s="592">
        <v>721.66809641852763</v>
      </c>
      <c r="AE44" s="592">
        <v>2007.1715314497787</v>
      </c>
      <c r="AF44" s="592">
        <v>0</v>
      </c>
      <c r="AG44" s="592">
        <v>0</v>
      </c>
      <c r="AH44" s="593">
        <v>0</v>
      </c>
      <c r="AI44" s="598"/>
    </row>
    <row r="45" spans="1:35" ht="15" thickBot="1" x14ac:dyDescent="0.35">
      <c r="A45" s="1146"/>
      <c r="B45" s="1185"/>
      <c r="C45" s="1185"/>
      <c r="D45" s="1213"/>
      <c r="E45" s="1216"/>
      <c r="F45" s="892" t="s">
        <v>129</v>
      </c>
      <c r="G45" s="893">
        <v>277108.8899036831</v>
      </c>
      <c r="H45" s="893">
        <v>325143.78520947456</v>
      </c>
      <c r="I45" s="894">
        <v>108218.69301739156</v>
      </c>
      <c r="J45" s="895">
        <v>306057.89139933197</v>
      </c>
      <c r="K45" s="893">
        <v>383741.12541605078</v>
      </c>
      <c r="L45" s="893">
        <v>111766.72397141517</v>
      </c>
      <c r="M45" s="598"/>
      <c r="Q45" s="1146"/>
      <c r="R45" s="1149"/>
      <c r="S45" s="1149"/>
      <c r="T45" s="1150"/>
      <c r="U45" s="1150"/>
      <c r="V45" s="590" t="s">
        <v>125</v>
      </c>
      <c r="W45" s="591">
        <v>0</v>
      </c>
      <c r="X45" s="592">
        <v>0</v>
      </c>
      <c r="Y45" s="592">
        <v>1497.9494394956557</v>
      </c>
      <c r="Z45" s="592">
        <v>327.6903877201741</v>
      </c>
      <c r="AA45" s="592">
        <v>0</v>
      </c>
      <c r="AB45" s="592">
        <v>1518.4683103954908</v>
      </c>
      <c r="AC45" s="592">
        <v>0</v>
      </c>
      <c r="AD45" s="592">
        <v>0</v>
      </c>
      <c r="AE45" s="592">
        <v>1547.6115431194328</v>
      </c>
      <c r="AF45" s="592">
        <v>0</v>
      </c>
      <c r="AG45" s="592">
        <v>0</v>
      </c>
      <c r="AH45" s="593">
        <v>1724.2585090423675</v>
      </c>
      <c r="AI45" s="598"/>
    </row>
    <row r="46" spans="1:35" ht="15" thickBot="1" x14ac:dyDescent="0.35">
      <c r="A46" s="1146"/>
      <c r="B46" s="1150" t="s">
        <v>123</v>
      </c>
      <c r="C46" s="1150" t="s">
        <v>130</v>
      </c>
      <c r="D46" s="1174">
        <v>1</v>
      </c>
      <c r="E46" s="1174" t="s">
        <v>124</v>
      </c>
      <c r="F46" s="590" t="s">
        <v>122</v>
      </c>
      <c r="G46" s="591">
        <v>0</v>
      </c>
      <c r="H46" s="592">
        <v>0</v>
      </c>
      <c r="I46" s="897">
        <v>0</v>
      </c>
      <c r="J46" s="900">
        <v>0</v>
      </c>
      <c r="K46" s="901">
        <v>0</v>
      </c>
      <c r="L46" s="902">
        <v>0</v>
      </c>
      <c r="M46" s="598"/>
      <c r="Q46" s="1146"/>
      <c r="R46" s="1149"/>
      <c r="S46" s="1149"/>
      <c r="T46" s="1150"/>
      <c r="U46" s="1150"/>
      <c r="V46" s="590" t="s">
        <v>126</v>
      </c>
      <c r="W46" s="591">
        <v>0</v>
      </c>
      <c r="X46" s="592">
        <v>0</v>
      </c>
      <c r="Y46" s="592">
        <v>1873.8107589970932</v>
      </c>
      <c r="Z46" s="592">
        <v>0</v>
      </c>
      <c r="AA46" s="592">
        <v>208.12911880693798</v>
      </c>
      <c r="AB46" s="592">
        <v>3300.7421927640407</v>
      </c>
      <c r="AC46" s="592">
        <v>0</v>
      </c>
      <c r="AD46" s="592">
        <v>328.96591130228552</v>
      </c>
      <c r="AE46" s="592">
        <v>3722.5483442403784</v>
      </c>
      <c r="AF46" s="592">
        <v>0</v>
      </c>
      <c r="AG46" s="592">
        <v>847.73229418600204</v>
      </c>
      <c r="AH46" s="593">
        <v>2094.6183395145035</v>
      </c>
      <c r="AI46" s="598"/>
    </row>
    <row r="47" spans="1:35" ht="15" thickBot="1" x14ac:dyDescent="0.35">
      <c r="A47" s="1146"/>
      <c r="B47" s="1149"/>
      <c r="C47" s="1149"/>
      <c r="D47" s="1149"/>
      <c r="E47" s="1149"/>
      <c r="F47" s="590" t="s">
        <v>123</v>
      </c>
      <c r="G47" s="591">
        <v>0</v>
      </c>
      <c r="H47" s="592">
        <v>0</v>
      </c>
      <c r="I47" s="897">
        <v>0</v>
      </c>
      <c r="J47" s="903">
        <v>0</v>
      </c>
      <c r="K47" s="592">
        <v>0</v>
      </c>
      <c r="L47" s="904">
        <v>0</v>
      </c>
      <c r="M47" s="598"/>
      <c r="Q47" s="1146"/>
      <c r="R47" s="1149"/>
      <c r="S47" s="1149"/>
      <c r="T47" s="1150"/>
      <c r="U47" s="1150"/>
      <c r="V47" s="590" t="s">
        <v>127</v>
      </c>
      <c r="W47" s="591">
        <v>0</v>
      </c>
      <c r="X47" s="592">
        <v>396.89915145266156</v>
      </c>
      <c r="Y47" s="592">
        <v>3368.8277023878522</v>
      </c>
      <c r="Z47" s="592">
        <v>0</v>
      </c>
      <c r="AA47" s="592">
        <v>0</v>
      </c>
      <c r="AB47" s="592">
        <v>2677.5839102775931</v>
      </c>
      <c r="AC47" s="592">
        <v>0</v>
      </c>
      <c r="AD47" s="592">
        <v>117.32166896394335</v>
      </c>
      <c r="AE47" s="592">
        <v>1635.764017622924</v>
      </c>
      <c r="AF47" s="592">
        <v>0</v>
      </c>
      <c r="AG47" s="592">
        <v>594.07012300266456</v>
      </c>
      <c r="AH47" s="593">
        <v>765.10384743624218</v>
      </c>
      <c r="AI47" s="598"/>
    </row>
    <row r="48" spans="1:35" ht="15" thickBot="1" x14ac:dyDescent="0.35">
      <c r="A48" s="1146"/>
      <c r="B48" s="1149"/>
      <c r="C48" s="1149"/>
      <c r="D48" s="1149"/>
      <c r="E48" s="1149"/>
      <c r="F48" s="590" t="s">
        <v>125</v>
      </c>
      <c r="G48" s="591">
        <v>0</v>
      </c>
      <c r="H48" s="592">
        <v>0</v>
      </c>
      <c r="I48" s="897">
        <v>0</v>
      </c>
      <c r="J48" s="903">
        <v>0</v>
      </c>
      <c r="K48" s="592">
        <v>0</v>
      </c>
      <c r="L48" s="904">
        <v>0</v>
      </c>
      <c r="M48" s="598"/>
      <c r="Q48" s="1146"/>
      <c r="R48" s="1149"/>
      <c r="S48" s="1149"/>
      <c r="T48" s="1150"/>
      <c r="U48" s="1150"/>
      <c r="V48" s="590" t="s">
        <v>128</v>
      </c>
      <c r="W48" s="591">
        <v>0</v>
      </c>
      <c r="X48" s="592">
        <v>0</v>
      </c>
      <c r="Y48" s="592">
        <v>1671.4633821259174</v>
      </c>
      <c r="Z48" s="592">
        <v>467.50894608518058</v>
      </c>
      <c r="AA48" s="592">
        <v>0</v>
      </c>
      <c r="AB48" s="592">
        <v>3278.191582545649</v>
      </c>
      <c r="AC48" s="592">
        <v>0</v>
      </c>
      <c r="AD48" s="592">
        <v>392.16323501807324</v>
      </c>
      <c r="AE48" s="592">
        <v>1556.6202517813745</v>
      </c>
      <c r="AF48" s="592">
        <v>0</v>
      </c>
      <c r="AG48" s="592">
        <v>1724.1921118944188</v>
      </c>
      <c r="AH48" s="593">
        <v>2117.2294000512029</v>
      </c>
      <c r="AI48" s="598"/>
    </row>
    <row r="49" spans="1:35" ht="15" thickBot="1" x14ac:dyDescent="0.35">
      <c r="A49" s="1146"/>
      <c r="B49" s="1149"/>
      <c r="C49" s="1149"/>
      <c r="D49" s="1149"/>
      <c r="E49" s="1149"/>
      <c r="F49" s="590" t="s">
        <v>126</v>
      </c>
      <c r="G49" s="591">
        <v>0</v>
      </c>
      <c r="H49" s="592">
        <v>0</v>
      </c>
      <c r="I49" s="897">
        <v>0</v>
      </c>
      <c r="J49" s="903">
        <v>0</v>
      </c>
      <c r="K49" s="592">
        <v>0</v>
      </c>
      <c r="L49" s="904">
        <v>0</v>
      </c>
      <c r="M49" s="598"/>
      <c r="Q49" s="1147"/>
      <c r="R49" s="1151"/>
      <c r="S49" s="1151"/>
      <c r="T49" s="1151"/>
      <c r="U49" s="1151"/>
      <c r="V49" s="594" t="s">
        <v>129</v>
      </c>
      <c r="W49" s="595">
        <v>200.45776073088899</v>
      </c>
      <c r="X49" s="596">
        <v>0</v>
      </c>
      <c r="Y49" s="596">
        <v>3549.4900613141472</v>
      </c>
      <c r="Z49" s="596">
        <v>0</v>
      </c>
      <c r="AA49" s="596">
        <v>0</v>
      </c>
      <c r="AB49" s="596">
        <v>3684.3979677564162</v>
      </c>
      <c r="AC49" s="596">
        <v>0</v>
      </c>
      <c r="AD49" s="596">
        <v>411.61068443554927</v>
      </c>
      <c r="AE49" s="596">
        <v>2239.4937786173773</v>
      </c>
      <c r="AF49" s="596">
        <v>0</v>
      </c>
      <c r="AG49" s="596">
        <v>241.22919105993785</v>
      </c>
      <c r="AH49" s="597">
        <v>3726.9796338889464</v>
      </c>
      <c r="AI49" s="598"/>
    </row>
    <row r="50" spans="1:35" x14ac:dyDescent="0.3">
      <c r="A50" s="1146"/>
      <c r="B50" s="1149"/>
      <c r="C50" s="1149"/>
      <c r="D50" s="1149"/>
      <c r="E50" s="1149"/>
      <c r="F50" s="590" t="s">
        <v>127</v>
      </c>
      <c r="G50" s="591">
        <v>0</v>
      </c>
      <c r="H50" s="592">
        <v>0</v>
      </c>
      <c r="I50" s="897">
        <v>0</v>
      </c>
      <c r="J50" s="903">
        <v>0</v>
      </c>
      <c r="K50" s="592">
        <v>0</v>
      </c>
      <c r="L50" s="904">
        <v>0</v>
      </c>
      <c r="M50" s="598"/>
    </row>
    <row r="51" spans="1:35" x14ac:dyDescent="0.3">
      <c r="A51" s="1146"/>
      <c r="B51" s="1149"/>
      <c r="C51" s="1149"/>
      <c r="D51" s="1149"/>
      <c r="E51" s="1149"/>
      <c r="F51" s="590" t="s">
        <v>128</v>
      </c>
      <c r="G51" s="591">
        <v>0</v>
      </c>
      <c r="H51" s="592">
        <v>0</v>
      </c>
      <c r="I51" s="897">
        <v>0</v>
      </c>
      <c r="J51" s="903">
        <v>0</v>
      </c>
      <c r="K51" s="592">
        <v>0</v>
      </c>
      <c r="L51" s="904">
        <v>0</v>
      </c>
      <c r="M51" s="598"/>
      <c r="W51" s="44">
        <f>SUM(W23:W28,W30:W35,Z23:Z28,Z30:Z35,AC23:AC28,AC30:AC35,AF23:AF28,AF30:AF35)</f>
        <v>618692.10728364892</v>
      </c>
      <c r="X51" s="44">
        <f>SUM(X23:X28,X30:X35,AA23:AA28,AA30:AA35,AD23:AD28,AD30:AD35,AG23:AG28,AG30:AG35)</f>
        <v>1332881.5435024756</v>
      </c>
      <c r="Y51" s="44">
        <f>SUM(Y23:Y28,Y30:Y35,AB23:AB28,AB30:AB35,AE23:AE28,AE30:AE35,AH23:AH28,AH30:AH35)</f>
        <v>1440047.9546620743</v>
      </c>
    </row>
    <row r="52" spans="1:35" x14ac:dyDescent="0.3">
      <c r="A52" s="1146"/>
      <c r="B52" s="1149"/>
      <c r="C52" s="1149"/>
      <c r="D52" s="1149"/>
      <c r="E52" s="1149"/>
      <c r="F52" s="590" t="s">
        <v>129</v>
      </c>
      <c r="G52" s="591">
        <v>0</v>
      </c>
      <c r="H52" s="592">
        <v>0</v>
      </c>
      <c r="I52" s="897">
        <v>0</v>
      </c>
      <c r="J52" s="903">
        <v>0</v>
      </c>
      <c r="K52" s="592">
        <v>0</v>
      </c>
      <c r="L52" s="904">
        <v>0</v>
      </c>
      <c r="M52" s="598"/>
      <c r="W52" s="44"/>
      <c r="X52" s="44"/>
      <c r="Y52" s="44"/>
    </row>
    <row r="53" spans="1:35" x14ac:dyDescent="0.3">
      <c r="A53" s="1146"/>
      <c r="B53" s="1149"/>
      <c r="C53" s="1149"/>
      <c r="D53" s="1217" t="s">
        <v>119</v>
      </c>
      <c r="E53" s="1111" t="s">
        <v>124</v>
      </c>
      <c r="F53" s="423" t="s">
        <v>122</v>
      </c>
      <c r="G53" s="425">
        <v>0</v>
      </c>
      <c r="H53" s="425">
        <v>0</v>
      </c>
      <c r="I53" s="898">
        <v>2150.3164544388137</v>
      </c>
      <c r="J53" s="905">
        <v>0</v>
      </c>
      <c r="K53" s="425">
        <v>0</v>
      </c>
      <c r="L53" s="906">
        <v>4959.3716274333747</v>
      </c>
      <c r="M53" s="598"/>
      <c r="W53" s="44">
        <f>SUM(Z23:Z28,Z30:Z35,AF23:AF28,AF30:AF35)</f>
        <v>321164.06758071994</v>
      </c>
      <c r="X53" s="44">
        <f>SUM(AA23:AA28,AA30:AA35,AG23:AG28,AG30:AG35)</f>
        <v>700651.71745035297</v>
      </c>
      <c r="Y53" s="44">
        <f>SUM(AB23:AB28,AB30:AB35,AH23:AH28,AH30:AH35)</f>
        <v>737741.54391669587</v>
      </c>
      <c r="Z53" s="44"/>
      <c r="AA53" s="325">
        <f>SUM(W23:W28,W30:W35,AC23:AC28,AC30:AC35)</f>
        <v>297528.03970292897</v>
      </c>
      <c r="AB53" s="325">
        <f>SUM(X23:X28,X30:X35,AD23:AD28,AD30:AD35)</f>
        <v>632229.8260521224</v>
      </c>
      <c r="AC53" s="325">
        <f>SUM(Y23:Y28,Y30:Y35,AE23:AE28,AE30:AE35)</f>
        <v>702306.41074537765</v>
      </c>
    </row>
    <row r="54" spans="1:35" x14ac:dyDescent="0.3">
      <c r="A54" s="1146"/>
      <c r="B54" s="1149"/>
      <c r="C54" s="1149"/>
      <c r="D54" s="1111"/>
      <c r="E54" s="1111"/>
      <c r="F54" s="423" t="s">
        <v>123</v>
      </c>
      <c r="G54" s="425">
        <v>0</v>
      </c>
      <c r="H54" s="425">
        <v>0</v>
      </c>
      <c r="I54" s="898">
        <v>1172.6317565862405</v>
      </c>
      <c r="J54" s="905">
        <v>0</v>
      </c>
      <c r="K54" s="425">
        <v>0</v>
      </c>
      <c r="L54" s="906">
        <v>3624.5800506164874</v>
      </c>
      <c r="M54" s="598"/>
      <c r="W54" s="44"/>
      <c r="X54" s="44"/>
      <c r="Y54" s="44"/>
      <c r="Z54" s="44"/>
    </row>
    <row r="55" spans="1:35" x14ac:dyDescent="0.3">
      <c r="A55" s="1146"/>
      <c r="B55" s="1149"/>
      <c r="C55" s="1149"/>
      <c r="D55" s="1111"/>
      <c r="E55" s="1111"/>
      <c r="F55" s="423" t="s">
        <v>125</v>
      </c>
      <c r="G55" s="425">
        <v>0</v>
      </c>
      <c r="H55" s="425">
        <v>0</v>
      </c>
      <c r="I55" s="898">
        <v>141.80567587916198</v>
      </c>
      <c r="J55" s="905">
        <v>0</v>
      </c>
      <c r="K55" s="425">
        <v>0</v>
      </c>
      <c r="L55" s="906">
        <v>2950.9140686522405</v>
      </c>
      <c r="M55" s="598"/>
      <c r="W55" s="44"/>
      <c r="X55" s="44"/>
      <c r="Y55" s="44"/>
      <c r="Z55" s="44"/>
    </row>
    <row r="56" spans="1:35" x14ac:dyDescent="0.3">
      <c r="A56" s="1146"/>
      <c r="B56" s="1149"/>
      <c r="C56" s="1149"/>
      <c r="D56" s="1111"/>
      <c r="E56" s="1111"/>
      <c r="F56" s="423" t="s">
        <v>126</v>
      </c>
      <c r="G56" s="425">
        <v>770.99511050216518</v>
      </c>
      <c r="H56" s="425">
        <v>874.12857563930834</v>
      </c>
      <c r="I56" s="898">
        <v>6208.7809918089797</v>
      </c>
      <c r="J56" s="905">
        <v>0</v>
      </c>
      <c r="K56" s="425">
        <v>741.8549344206923</v>
      </c>
      <c r="L56" s="906">
        <v>5734.4985647624426</v>
      </c>
      <c r="M56" s="598"/>
      <c r="W56" s="44"/>
      <c r="X56" s="44"/>
      <c r="Y56" s="44"/>
    </row>
    <row r="57" spans="1:35" x14ac:dyDescent="0.3">
      <c r="A57" s="1146"/>
      <c r="B57" s="1149"/>
      <c r="C57" s="1149"/>
      <c r="D57" s="1111"/>
      <c r="E57" s="1111"/>
      <c r="F57" s="423" t="s">
        <v>127</v>
      </c>
      <c r="G57" s="425">
        <v>0</v>
      </c>
      <c r="H57" s="425">
        <v>0</v>
      </c>
      <c r="I57" s="898">
        <v>7380.754724828591</v>
      </c>
      <c r="J57" s="905">
        <v>889.55233759945236</v>
      </c>
      <c r="K57" s="425">
        <v>0</v>
      </c>
      <c r="L57" s="906">
        <v>567.23818221320835</v>
      </c>
      <c r="M57" s="598"/>
      <c r="W57" s="44"/>
      <c r="X57" s="44"/>
      <c r="Y57" s="44"/>
    </row>
    <row r="58" spans="1:35" x14ac:dyDescent="0.3">
      <c r="A58" s="1146"/>
      <c r="B58" s="1149"/>
      <c r="C58" s="1149"/>
      <c r="D58" s="1111"/>
      <c r="E58" s="1111"/>
      <c r="F58" s="423" t="s">
        <v>128</v>
      </c>
      <c r="G58" s="425">
        <v>0</v>
      </c>
      <c r="H58" s="425">
        <v>0</v>
      </c>
      <c r="I58" s="898">
        <v>7650.4191766673466</v>
      </c>
      <c r="J58" s="905">
        <v>0</v>
      </c>
      <c r="K58" s="425">
        <v>0</v>
      </c>
      <c r="L58" s="906">
        <v>3204.999754605954</v>
      </c>
      <c r="M58" s="598"/>
    </row>
    <row r="59" spans="1:35" ht="15" thickBot="1" x14ac:dyDescent="0.35">
      <c r="A59" s="1147"/>
      <c r="B59" s="1151"/>
      <c r="C59" s="1151"/>
      <c r="D59" s="1112"/>
      <c r="E59" s="1112"/>
      <c r="F59" s="427" t="s">
        <v>129</v>
      </c>
      <c r="G59" s="429">
        <v>0</v>
      </c>
      <c r="H59" s="429">
        <v>0</v>
      </c>
      <c r="I59" s="899">
        <v>4109.2603554114958</v>
      </c>
      <c r="J59" s="907">
        <v>0</v>
      </c>
      <c r="K59" s="908">
        <v>2189.635863654129</v>
      </c>
      <c r="L59" s="909">
        <v>6790.8137021184621</v>
      </c>
      <c r="M59" s="598"/>
      <c r="W59" s="44"/>
      <c r="X59" s="44"/>
      <c r="Y59" s="44"/>
    </row>
    <row r="60" spans="1:35" x14ac:dyDescent="0.3">
      <c r="G60" s="777"/>
      <c r="H60" s="777"/>
      <c r="I60" s="777"/>
      <c r="W60" s="44"/>
      <c r="X60" s="44"/>
      <c r="Y60" s="44"/>
    </row>
    <row r="61" spans="1:35" x14ac:dyDescent="0.3">
      <c r="G61" s="44"/>
      <c r="H61" s="44"/>
      <c r="I61" s="44"/>
      <c r="J61" s="44"/>
      <c r="K61" s="44"/>
      <c r="L61" s="44"/>
      <c r="M61" s="44"/>
    </row>
    <row r="62" spans="1:35" x14ac:dyDescent="0.3">
      <c r="G62" s="44"/>
      <c r="H62" s="44"/>
      <c r="I62" s="44"/>
      <c r="J62" s="44"/>
      <c r="K62" s="44"/>
      <c r="L62" s="44"/>
      <c r="W62" s="44"/>
      <c r="X62" s="44"/>
      <c r="Y62" s="44"/>
    </row>
    <row r="63" spans="1:35" x14ac:dyDescent="0.3">
      <c r="G63" s="44"/>
      <c r="H63" s="44"/>
      <c r="I63" s="44"/>
    </row>
    <row r="64" spans="1:35" x14ac:dyDescent="0.3">
      <c r="G64" s="44"/>
      <c r="H64" s="44"/>
      <c r="I64" s="44"/>
    </row>
    <row r="65" spans="1:13" x14ac:dyDescent="0.3">
      <c r="G65" s="44"/>
      <c r="H65" s="44"/>
      <c r="I65" s="44"/>
      <c r="J65" s="44"/>
      <c r="K65" s="44"/>
      <c r="L65" s="44"/>
    </row>
    <row r="66" spans="1:13" x14ac:dyDescent="0.3">
      <c r="G66" s="44"/>
      <c r="H66" s="44"/>
      <c r="I66" s="44"/>
      <c r="J66" s="44"/>
      <c r="K66" s="44"/>
      <c r="L66" s="44"/>
    </row>
    <row r="67" spans="1:13" x14ac:dyDescent="0.3">
      <c r="G67" s="44"/>
      <c r="H67" s="44"/>
      <c r="I67" s="44"/>
      <c r="J67" s="44"/>
      <c r="K67" s="44"/>
      <c r="L67" s="44"/>
    </row>
    <row r="68" spans="1:13" x14ac:dyDescent="0.3">
      <c r="G68" s="44"/>
      <c r="H68" s="44"/>
      <c r="I68" s="44"/>
      <c r="J68" s="44"/>
      <c r="K68" s="44"/>
      <c r="L68" s="44"/>
    </row>
    <row r="69" spans="1:13" x14ac:dyDescent="0.3">
      <c r="G69" s="44"/>
      <c r="H69" s="44"/>
      <c r="I69" s="44"/>
      <c r="J69" s="44"/>
      <c r="K69" s="44"/>
      <c r="L69" s="44"/>
    </row>
    <row r="70" spans="1:13" x14ac:dyDescent="0.3">
      <c r="G70" s="44"/>
      <c r="H70" s="44"/>
      <c r="I70" s="44"/>
      <c r="J70" s="44"/>
      <c r="K70" s="44"/>
      <c r="L70" s="44"/>
    </row>
    <row r="71" spans="1:13" x14ac:dyDescent="0.3">
      <c r="G71" s="44"/>
      <c r="H71" s="44"/>
      <c r="I71" s="44"/>
    </row>
    <row r="72" spans="1:13" x14ac:dyDescent="0.3">
      <c r="G72" s="44"/>
      <c r="H72" s="44"/>
      <c r="I72" s="44"/>
    </row>
    <row r="73" spans="1:13" x14ac:dyDescent="0.3">
      <c r="G73" s="44"/>
      <c r="H73" s="44"/>
      <c r="I73" s="44"/>
    </row>
    <row r="74" spans="1:13" x14ac:dyDescent="0.3">
      <c r="A74" s="729"/>
      <c r="B74" s="728"/>
      <c r="C74" s="728"/>
      <c r="D74" s="728"/>
      <c r="E74" s="728"/>
      <c r="F74" s="728"/>
      <c r="G74" s="730"/>
      <c r="H74" s="728"/>
      <c r="I74" s="728"/>
      <c r="J74" s="728"/>
      <c r="K74" s="728"/>
      <c r="L74" s="728"/>
      <c r="M74" s="598"/>
    </row>
    <row r="80" spans="1:13" x14ac:dyDescent="0.3">
      <c r="A80" s="911"/>
      <c r="B80" s="911"/>
      <c r="C80" s="911"/>
      <c r="D80" s="911"/>
      <c r="E80" s="911"/>
      <c r="F80" s="911"/>
      <c r="G80" s="911"/>
    </row>
    <row r="81" spans="1:13" x14ac:dyDescent="0.3">
      <c r="A81" s="911"/>
      <c r="B81" s="911"/>
      <c r="C81" s="911"/>
      <c r="D81" s="911"/>
      <c r="E81" s="914"/>
      <c r="F81" s="914"/>
      <c r="G81" s="914"/>
    </row>
    <row r="82" spans="1:13" x14ac:dyDescent="0.3">
      <c r="A82" s="911"/>
      <c r="B82" s="911"/>
      <c r="C82" s="911"/>
      <c r="D82" s="911"/>
      <c r="E82" s="914"/>
      <c r="F82" s="914"/>
      <c r="G82" s="914"/>
    </row>
    <row r="83" spans="1:13" x14ac:dyDescent="0.3">
      <c r="A83" s="912"/>
      <c r="B83" s="913"/>
      <c r="C83" s="912"/>
      <c r="D83" s="915"/>
      <c r="E83" s="916"/>
      <c r="F83" s="916"/>
      <c r="G83" s="916"/>
    </row>
    <row r="84" spans="1:13" x14ac:dyDescent="0.3">
      <c r="A84" s="912"/>
      <c r="B84" s="912"/>
      <c r="C84" s="912"/>
      <c r="D84" s="915"/>
      <c r="E84" s="916"/>
      <c r="F84" s="916"/>
      <c r="G84" s="916"/>
    </row>
    <row r="85" spans="1:13" x14ac:dyDescent="0.3">
      <c r="A85" s="912"/>
      <c r="B85" s="915"/>
      <c r="C85" s="917"/>
      <c r="D85" s="915"/>
      <c r="E85" s="916"/>
      <c r="F85" s="916"/>
      <c r="G85" s="916"/>
    </row>
    <row r="87" spans="1:13" x14ac:dyDescent="0.3">
      <c r="A87" s="911"/>
      <c r="B87" s="911"/>
      <c r="C87" s="911"/>
      <c r="D87" s="911"/>
      <c r="E87" s="911"/>
      <c r="F87" s="911"/>
      <c r="G87" s="911"/>
      <c r="H87" s="911"/>
      <c r="I87" s="911"/>
      <c r="J87" s="911"/>
      <c r="K87" s="910"/>
    </row>
    <row r="88" spans="1:13" x14ac:dyDescent="0.3">
      <c r="A88" s="911"/>
      <c r="B88" s="911"/>
      <c r="C88" s="911"/>
      <c r="D88" s="911"/>
      <c r="E88" s="911"/>
      <c r="F88" s="911"/>
      <c r="G88" s="911"/>
      <c r="H88" s="911"/>
      <c r="I88" s="911"/>
      <c r="J88" s="911"/>
      <c r="K88" s="910"/>
    </row>
    <row r="89" spans="1:13" x14ac:dyDescent="0.3">
      <c r="A89" s="911"/>
      <c r="B89" s="911"/>
      <c r="C89" s="911"/>
      <c r="D89" s="911"/>
      <c r="E89" s="911"/>
      <c r="F89" s="911"/>
      <c r="G89" s="911"/>
      <c r="H89" s="911"/>
      <c r="I89" s="911"/>
      <c r="J89" s="911"/>
      <c r="K89" s="910"/>
    </row>
    <row r="90" spans="1:13" x14ac:dyDescent="0.3">
      <c r="A90" s="911"/>
      <c r="B90" s="911"/>
      <c r="C90" s="911"/>
      <c r="D90" s="911"/>
      <c r="E90" s="914"/>
      <c r="F90" s="914"/>
      <c r="G90" s="914"/>
      <c r="H90" s="914"/>
      <c r="I90" s="914"/>
      <c r="J90" s="914"/>
      <c r="K90" s="910"/>
    </row>
    <row r="91" spans="1:13" x14ac:dyDescent="0.3">
      <c r="A91" s="911"/>
      <c r="B91" s="911"/>
      <c r="C91" s="911"/>
      <c r="D91" s="911"/>
      <c r="E91" s="914"/>
      <c r="F91" s="914"/>
      <c r="G91" s="914"/>
      <c r="H91" s="914"/>
      <c r="I91" s="914"/>
      <c r="J91" s="914"/>
      <c r="K91" s="910"/>
    </row>
    <row r="92" spans="1:13" x14ac:dyDescent="0.3">
      <c r="A92" s="912"/>
      <c r="B92" s="913"/>
      <c r="C92" s="912"/>
      <c r="D92" s="915"/>
      <c r="E92" s="916"/>
      <c r="F92" s="916"/>
      <c r="G92" s="916"/>
      <c r="H92" s="916"/>
      <c r="I92" s="916"/>
      <c r="J92" s="916"/>
      <c r="K92" s="910"/>
    </row>
    <row r="93" spans="1:13" x14ac:dyDescent="0.3">
      <c r="A93" s="912"/>
      <c r="B93" s="912"/>
      <c r="C93" s="912"/>
      <c r="D93" s="915"/>
      <c r="E93" s="916"/>
      <c r="F93" s="916"/>
      <c r="G93" s="916"/>
      <c r="H93" s="916"/>
      <c r="I93" s="916"/>
      <c r="J93" s="916"/>
      <c r="K93" s="910"/>
    </row>
    <row r="94" spans="1:13" x14ac:dyDescent="0.3">
      <c r="A94" s="912"/>
      <c r="B94" s="915"/>
      <c r="C94" s="917"/>
      <c r="D94" s="915"/>
      <c r="E94" s="916"/>
      <c r="F94" s="916"/>
      <c r="G94" s="916"/>
      <c r="H94" s="916"/>
      <c r="I94" s="916"/>
      <c r="J94" s="916"/>
      <c r="K94" s="910"/>
    </row>
    <row r="96" spans="1:13" x14ac:dyDescent="0.3">
      <c r="A96" s="911"/>
      <c r="B96" s="911"/>
      <c r="C96" s="911"/>
      <c r="D96" s="911"/>
      <c r="E96" s="911"/>
      <c r="F96" s="911"/>
      <c r="G96" s="911"/>
      <c r="H96" s="911"/>
      <c r="I96" s="911"/>
      <c r="J96" s="911"/>
      <c r="K96" s="911"/>
      <c r="L96" s="911"/>
      <c r="M96" s="910"/>
    </row>
    <row r="97" spans="1:13" x14ac:dyDescent="0.3">
      <c r="A97" s="911"/>
      <c r="B97" s="911"/>
      <c r="C97" s="911"/>
      <c r="D97" s="911"/>
      <c r="E97" s="911"/>
      <c r="F97" s="911"/>
      <c r="G97" s="911"/>
      <c r="H97" s="911"/>
      <c r="I97" s="911"/>
      <c r="J97" s="911"/>
      <c r="K97" s="911"/>
      <c r="L97" s="911"/>
      <c r="M97" s="910"/>
    </row>
    <row r="98" spans="1:13" x14ac:dyDescent="0.3">
      <c r="A98" s="911"/>
      <c r="B98" s="911"/>
      <c r="C98" s="911"/>
      <c r="D98" s="911"/>
      <c r="E98" s="911"/>
      <c r="F98" s="911"/>
      <c r="G98" s="911"/>
      <c r="H98" s="911"/>
      <c r="I98" s="911"/>
      <c r="J98" s="911"/>
      <c r="K98" s="911"/>
      <c r="L98" s="911"/>
      <c r="M98" s="910"/>
    </row>
    <row r="99" spans="1:13" x14ac:dyDescent="0.3">
      <c r="A99" s="911"/>
      <c r="B99" s="911"/>
      <c r="C99" s="911"/>
      <c r="D99" s="911"/>
      <c r="E99" s="911"/>
      <c r="F99" s="911"/>
      <c r="G99" s="914"/>
      <c r="H99" s="914"/>
      <c r="I99" s="914"/>
      <c r="J99" s="914"/>
      <c r="K99" s="914"/>
      <c r="L99" s="914"/>
      <c r="M99" s="910"/>
    </row>
    <row r="100" spans="1:13" x14ac:dyDescent="0.3">
      <c r="A100" s="911"/>
      <c r="B100" s="911"/>
      <c r="C100" s="911"/>
      <c r="D100" s="911"/>
      <c r="E100" s="911"/>
      <c r="F100" s="911"/>
      <c r="G100" s="914"/>
      <c r="H100" s="914"/>
      <c r="I100" s="914"/>
      <c r="J100" s="914"/>
      <c r="K100" s="914"/>
      <c r="L100" s="914"/>
      <c r="M100" s="910"/>
    </row>
    <row r="101" spans="1:13" x14ac:dyDescent="0.3">
      <c r="A101" s="912"/>
      <c r="B101" s="913"/>
      <c r="C101" s="912"/>
      <c r="D101" s="913"/>
      <c r="E101" s="912"/>
      <c r="F101" s="915"/>
      <c r="G101" s="916"/>
      <c r="H101" s="916"/>
      <c r="I101" s="916"/>
      <c r="J101" s="916"/>
      <c r="K101" s="916"/>
      <c r="L101" s="916"/>
      <c r="M101" s="910"/>
    </row>
    <row r="102" spans="1:13" x14ac:dyDescent="0.3">
      <c r="A102" s="912"/>
      <c r="B102" s="912"/>
      <c r="C102" s="912"/>
      <c r="D102" s="912"/>
      <c r="E102" s="912"/>
      <c r="F102" s="915"/>
      <c r="G102" s="916"/>
      <c r="H102" s="916"/>
      <c r="I102" s="916"/>
      <c r="J102" s="916"/>
      <c r="K102" s="916"/>
      <c r="L102" s="916"/>
      <c r="M102" s="910"/>
    </row>
    <row r="103" spans="1:13" x14ac:dyDescent="0.3">
      <c r="A103" s="912"/>
      <c r="B103" s="912"/>
      <c r="C103" s="912"/>
      <c r="D103" s="912"/>
      <c r="E103" s="912"/>
      <c r="F103" s="915"/>
      <c r="G103" s="916"/>
      <c r="H103" s="916"/>
      <c r="I103" s="916"/>
      <c r="J103" s="916"/>
      <c r="K103" s="916"/>
      <c r="L103" s="916"/>
      <c r="M103" s="910"/>
    </row>
    <row r="104" spans="1:13" x14ac:dyDescent="0.3">
      <c r="A104" s="912"/>
      <c r="B104" s="912"/>
      <c r="C104" s="912"/>
      <c r="D104" s="912"/>
      <c r="E104" s="912"/>
      <c r="F104" s="915"/>
      <c r="G104" s="916"/>
      <c r="H104" s="916"/>
      <c r="I104" s="916"/>
      <c r="J104" s="916"/>
      <c r="K104" s="916"/>
      <c r="L104" s="916"/>
      <c r="M104" s="910"/>
    </row>
    <row r="105" spans="1:13" x14ac:dyDescent="0.3">
      <c r="A105" s="912"/>
      <c r="B105" s="912"/>
      <c r="C105" s="912"/>
      <c r="D105" s="912"/>
      <c r="E105" s="912"/>
      <c r="F105" s="915"/>
      <c r="G105" s="916"/>
      <c r="H105" s="916"/>
      <c r="I105" s="916"/>
      <c r="J105" s="916"/>
      <c r="K105" s="916"/>
      <c r="L105" s="916"/>
      <c r="M105" s="910"/>
    </row>
    <row r="106" spans="1:13" x14ac:dyDescent="0.3">
      <c r="A106" s="912"/>
      <c r="B106" s="912"/>
      <c r="C106" s="912"/>
      <c r="D106" s="912"/>
      <c r="E106" s="912"/>
      <c r="F106" s="915"/>
      <c r="G106" s="916"/>
      <c r="H106" s="916"/>
      <c r="I106" s="916"/>
      <c r="J106" s="916"/>
      <c r="K106" s="916"/>
      <c r="L106" s="916"/>
      <c r="M106" s="910"/>
    </row>
    <row r="107" spans="1:13" x14ac:dyDescent="0.3">
      <c r="A107" s="912"/>
      <c r="B107" s="912"/>
      <c r="C107" s="912"/>
      <c r="D107" s="912"/>
      <c r="E107" s="912"/>
      <c r="F107" s="915"/>
      <c r="G107" s="916"/>
      <c r="H107" s="916"/>
      <c r="I107" s="916"/>
      <c r="J107" s="916"/>
      <c r="K107" s="916"/>
      <c r="L107" s="916"/>
      <c r="M107" s="910"/>
    </row>
    <row r="108" spans="1:13" x14ac:dyDescent="0.3">
      <c r="A108" s="912"/>
      <c r="B108" s="912"/>
      <c r="C108" s="912"/>
      <c r="D108" s="913"/>
      <c r="E108" s="912"/>
      <c r="F108" s="915"/>
      <c r="G108" s="916"/>
      <c r="H108" s="916"/>
      <c r="I108" s="916"/>
      <c r="J108" s="916"/>
      <c r="K108" s="916"/>
      <c r="L108" s="916"/>
      <c r="M108" s="910"/>
    </row>
    <row r="109" spans="1:13" x14ac:dyDescent="0.3">
      <c r="A109" s="912"/>
      <c r="B109" s="912"/>
      <c r="C109" s="912"/>
      <c r="D109" s="912"/>
      <c r="E109" s="912"/>
      <c r="F109" s="915"/>
      <c r="G109" s="916"/>
      <c r="H109" s="916"/>
      <c r="I109" s="916"/>
      <c r="J109" s="916"/>
      <c r="K109" s="916"/>
      <c r="L109" s="916"/>
      <c r="M109" s="910"/>
    </row>
    <row r="110" spans="1:13" x14ac:dyDescent="0.3">
      <c r="A110" s="912"/>
      <c r="B110" s="912"/>
      <c r="C110" s="912"/>
      <c r="D110" s="912"/>
      <c r="E110" s="912"/>
      <c r="F110" s="915"/>
      <c r="G110" s="916"/>
      <c r="H110" s="916"/>
      <c r="I110" s="916"/>
      <c r="J110" s="916"/>
      <c r="K110" s="916"/>
      <c r="L110" s="916"/>
      <c r="M110" s="910"/>
    </row>
    <row r="111" spans="1:13" x14ac:dyDescent="0.3">
      <c r="A111" s="912"/>
      <c r="B111" s="912"/>
      <c r="C111" s="912"/>
      <c r="D111" s="912"/>
      <c r="E111" s="912"/>
      <c r="F111" s="915"/>
      <c r="G111" s="916"/>
      <c r="H111" s="916"/>
      <c r="I111" s="916"/>
      <c r="J111" s="916"/>
      <c r="K111" s="916"/>
      <c r="L111" s="916"/>
      <c r="M111" s="910"/>
    </row>
    <row r="112" spans="1:13" x14ac:dyDescent="0.3">
      <c r="A112" s="912"/>
      <c r="B112" s="912"/>
      <c r="C112" s="912"/>
      <c r="D112" s="912"/>
      <c r="E112" s="912"/>
      <c r="F112" s="915"/>
      <c r="G112" s="916"/>
      <c r="H112" s="916"/>
      <c r="I112" s="916"/>
      <c r="J112" s="916"/>
      <c r="K112" s="916"/>
      <c r="L112" s="916"/>
      <c r="M112" s="910"/>
    </row>
    <row r="113" spans="1:13" x14ac:dyDescent="0.3">
      <c r="A113" s="912"/>
      <c r="B113" s="912"/>
      <c r="C113" s="912"/>
      <c r="D113" s="912"/>
      <c r="E113" s="912"/>
      <c r="F113" s="915"/>
      <c r="G113" s="916"/>
      <c r="H113" s="916"/>
      <c r="I113" s="916"/>
      <c r="J113" s="916"/>
      <c r="K113" s="916"/>
      <c r="L113" s="916"/>
      <c r="M113" s="910"/>
    </row>
    <row r="114" spans="1:13" x14ac:dyDescent="0.3">
      <c r="A114" s="912"/>
      <c r="B114" s="912"/>
      <c r="C114" s="912"/>
      <c r="D114" s="912"/>
      <c r="E114" s="912"/>
      <c r="F114" s="915"/>
      <c r="G114" s="916"/>
      <c r="H114" s="916"/>
      <c r="I114" s="916"/>
      <c r="J114" s="916"/>
      <c r="K114" s="916"/>
      <c r="L114" s="916"/>
      <c r="M114" s="910"/>
    </row>
    <row r="115" spans="1:13" x14ac:dyDescent="0.3">
      <c r="A115" s="912"/>
      <c r="B115" s="913"/>
      <c r="C115" s="912"/>
      <c r="D115" s="913"/>
      <c r="E115" s="912"/>
      <c r="F115" s="915"/>
      <c r="G115" s="916"/>
      <c r="H115" s="916"/>
      <c r="I115" s="916"/>
      <c r="J115" s="916"/>
      <c r="K115" s="916"/>
      <c r="L115" s="916"/>
      <c r="M115" s="910"/>
    </row>
    <row r="116" spans="1:13" x14ac:dyDescent="0.3">
      <c r="A116" s="912"/>
      <c r="B116" s="912"/>
      <c r="C116" s="912"/>
      <c r="D116" s="912"/>
      <c r="E116" s="912"/>
      <c r="F116" s="915"/>
      <c r="G116" s="916"/>
      <c r="H116" s="916"/>
      <c r="I116" s="916"/>
      <c r="J116" s="916"/>
      <c r="K116" s="916"/>
      <c r="L116" s="916"/>
      <c r="M116" s="910"/>
    </row>
    <row r="117" spans="1:13" x14ac:dyDescent="0.3">
      <c r="A117" s="912"/>
      <c r="B117" s="912"/>
      <c r="C117" s="912"/>
      <c r="D117" s="912"/>
      <c r="E117" s="912"/>
      <c r="F117" s="915"/>
      <c r="G117" s="916"/>
      <c r="H117" s="916"/>
      <c r="I117" s="916"/>
      <c r="J117" s="916"/>
      <c r="K117" s="916"/>
      <c r="L117" s="916"/>
      <c r="M117" s="910"/>
    </row>
    <row r="118" spans="1:13" x14ac:dyDescent="0.3">
      <c r="A118" s="912"/>
      <c r="B118" s="912"/>
      <c r="C118" s="912"/>
      <c r="D118" s="912"/>
      <c r="E118" s="912"/>
      <c r="F118" s="915"/>
      <c r="G118" s="916"/>
      <c r="H118" s="916"/>
      <c r="I118" s="916"/>
      <c r="J118" s="916"/>
      <c r="K118" s="916"/>
      <c r="L118" s="916"/>
      <c r="M118" s="910"/>
    </row>
    <row r="119" spans="1:13" x14ac:dyDescent="0.3">
      <c r="A119" s="912"/>
      <c r="B119" s="912"/>
      <c r="C119" s="912"/>
      <c r="D119" s="912"/>
      <c r="E119" s="912"/>
      <c r="F119" s="915"/>
      <c r="G119" s="916"/>
      <c r="H119" s="916"/>
      <c r="I119" s="916"/>
      <c r="J119" s="916"/>
      <c r="K119" s="916"/>
      <c r="L119" s="916"/>
      <c r="M119" s="910"/>
    </row>
    <row r="120" spans="1:13" x14ac:dyDescent="0.3">
      <c r="A120" s="912"/>
      <c r="B120" s="912"/>
      <c r="C120" s="912"/>
      <c r="D120" s="912"/>
      <c r="E120" s="912"/>
      <c r="F120" s="915"/>
      <c r="G120" s="916"/>
      <c r="H120" s="916"/>
      <c r="I120" s="916"/>
      <c r="J120" s="916"/>
      <c r="K120" s="916"/>
      <c r="L120" s="916"/>
      <c r="M120" s="910"/>
    </row>
    <row r="121" spans="1:13" x14ac:dyDescent="0.3">
      <c r="A121" s="912"/>
      <c r="B121" s="912"/>
      <c r="C121" s="912"/>
      <c r="D121" s="912"/>
      <c r="E121" s="912"/>
      <c r="F121" s="915"/>
      <c r="G121" s="916"/>
      <c r="H121" s="916"/>
      <c r="I121" s="916"/>
      <c r="J121" s="916"/>
      <c r="K121" s="916"/>
      <c r="L121" s="916"/>
      <c r="M121" s="910"/>
    </row>
  </sheetData>
  <mergeCells count="79">
    <mergeCell ref="A14:D18"/>
    <mergeCell ref="E14:J14"/>
    <mergeCell ref="E15:G15"/>
    <mergeCell ref="H15:J15"/>
    <mergeCell ref="E16:G16"/>
    <mergeCell ref="H16:J16"/>
    <mergeCell ref="A19:A22"/>
    <mergeCell ref="B19:B20"/>
    <mergeCell ref="C19:C20"/>
    <mergeCell ref="B21:B22"/>
    <mergeCell ref="C21:C22"/>
    <mergeCell ref="A1:L1"/>
    <mergeCell ref="P1:AH1"/>
    <mergeCell ref="Q3:T7"/>
    <mergeCell ref="U3:Z3"/>
    <mergeCell ref="U4:V4"/>
    <mergeCell ref="W4:X4"/>
    <mergeCell ref="Y4:Z4"/>
    <mergeCell ref="U5:V5"/>
    <mergeCell ref="A3:D5"/>
    <mergeCell ref="E3:G3"/>
    <mergeCell ref="A6:A9"/>
    <mergeCell ref="B6:B7"/>
    <mergeCell ref="C6:C7"/>
    <mergeCell ref="B8:B9"/>
    <mergeCell ref="C8:C9"/>
    <mergeCell ref="W5:X5"/>
    <mergeCell ref="Y5:Z5"/>
    <mergeCell ref="Q8:Q11"/>
    <mergeCell ref="R8:R9"/>
    <mergeCell ref="S8:S9"/>
    <mergeCell ref="R10:R11"/>
    <mergeCell ref="S10:S11"/>
    <mergeCell ref="A27:F31"/>
    <mergeCell ref="G27:L27"/>
    <mergeCell ref="G28:I28"/>
    <mergeCell ref="J28:L28"/>
    <mergeCell ref="G29:I29"/>
    <mergeCell ref="J29:L29"/>
    <mergeCell ref="A32:A59"/>
    <mergeCell ref="B32:B45"/>
    <mergeCell ref="C32:C45"/>
    <mergeCell ref="D32:D38"/>
    <mergeCell ref="E32:E38"/>
    <mergeCell ref="D39:D45"/>
    <mergeCell ref="E39:E45"/>
    <mergeCell ref="B46:B59"/>
    <mergeCell ref="C46:C59"/>
    <mergeCell ref="D46:D52"/>
    <mergeCell ref="E46:E52"/>
    <mergeCell ref="D53:D59"/>
    <mergeCell ref="E53:E59"/>
    <mergeCell ref="R36:R49"/>
    <mergeCell ref="T29:T35"/>
    <mergeCell ref="U29:U35"/>
    <mergeCell ref="AF19:AH19"/>
    <mergeCell ref="AC19:AE19"/>
    <mergeCell ref="Q15:V21"/>
    <mergeCell ref="W18:Y18"/>
    <mergeCell ref="Z18:AB18"/>
    <mergeCell ref="AC18:AE18"/>
    <mergeCell ref="Q22:Q49"/>
    <mergeCell ref="R22:R35"/>
    <mergeCell ref="S22:S35"/>
    <mergeCell ref="T22:T28"/>
    <mergeCell ref="U22:U28"/>
    <mergeCell ref="U36:U42"/>
    <mergeCell ref="S36:S49"/>
    <mergeCell ref="T36:T42"/>
    <mergeCell ref="T43:T49"/>
    <mergeCell ref="U43:U49"/>
    <mergeCell ref="W15:AH15"/>
    <mergeCell ref="W16:AB16"/>
    <mergeCell ref="AC16:AH16"/>
    <mergeCell ref="W17:AB17"/>
    <mergeCell ref="AC17:AH17"/>
    <mergeCell ref="AF18:AH18"/>
    <mergeCell ref="W19:Y19"/>
    <mergeCell ref="Z19:AB19"/>
  </mergeCells>
  <pageMargins left="0.7" right="0.7" top="0.75" bottom="0.75" header="0.3" footer="0.3"/>
  <pageSetup orientation="portrait" horizontalDpi="300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FFFF00"/>
  </sheetPr>
  <dimension ref="A1:V86"/>
  <sheetViews>
    <sheetView topLeftCell="A4" zoomScaleNormal="100" workbookViewId="0">
      <selection activeCell="F27" sqref="F27:G27"/>
    </sheetView>
  </sheetViews>
  <sheetFormatPr baseColWidth="10" defaultRowHeight="14.4" x14ac:dyDescent="0.3"/>
  <cols>
    <col min="1" max="1" width="27.109375" customWidth="1"/>
    <col min="2" max="4" width="10.5546875" style="45" customWidth="1"/>
    <col min="5" max="5" width="11.44140625" style="45"/>
    <col min="6" max="6" width="14" bestFit="1" customWidth="1"/>
    <col min="9" max="10" width="4.88671875" customWidth="1"/>
    <col min="11" max="11" width="24.88671875" bestFit="1" customWidth="1"/>
    <col min="12" max="12" width="10.44140625" bestFit="1" customWidth="1"/>
    <col min="13" max="15" width="11.44140625" bestFit="1" customWidth="1"/>
    <col min="16" max="16" width="11.88671875" bestFit="1" customWidth="1"/>
    <col min="17" max="17" width="10.44140625" bestFit="1" customWidth="1"/>
    <col min="18" max="18" width="19.109375" style="45" customWidth="1"/>
    <col min="19" max="19" width="12.5546875" style="45" customWidth="1"/>
    <col min="20" max="20" width="12.5546875" bestFit="1" customWidth="1"/>
  </cols>
  <sheetData>
    <row r="1" spans="1:22" ht="16.2" thickBot="1" x14ac:dyDescent="0.35">
      <c r="A1" s="1231" t="s">
        <v>134</v>
      </c>
      <c r="B1" s="1231"/>
      <c r="C1" s="1231"/>
      <c r="D1" s="1231"/>
      <c r="E1" s="1231"/>
      <c r="K1" s="1230" t="s">
        <v>161</v>
      </c>
      <c r="L1" s="1230"/>
      <c r="M1" s="1230"/>
      <c r="N1" s="1230"/>
      <c r="O1" s="1230"/>
      <c r="P1" s="1230"/>
      <c r="Q1" s="1230"/>
    </row>
    <row r="2" spans="1:22" ht="15" thickBot="1" x14ac:dyDescent="0.35">
      <c r="A2" s="372"/>
      <c r="B2" s="373" t="s">
        <v>92</v>
      </c>
      <c r="C2" s="374" t="s">
        <v>6</v>
      </c>
      <c r="D2" s="374" t="s">
        <v>93</v>
      </c>
      <c r="E2" s="375" t="s">
        <v>116</v>
      </c>
      <c r="F2" s="151" t="s">
        <v>117</v>
      </c>
      <c r="K2" s="372"/>
      <c r="L2" s="478" t="s">
        <v>92</v>
      </c>
      <c r="M2" s="479" t="s">
        <v>6</v>
      </c>
      <c r="N2" s="480" t="s">
        <v>93</v>
      </c>
      <c r="O2" s="478" t="s">
        <v>116</v>
      </c>
      <c r="P2" s="479" t="s">
        <v>106</v>
      </c>
      <c r="Q2" s="481" t="s">
        <v>107</v>
      </c>
      <c r="R2" s="151" t="s">
        <v>117</v>
      </c>
    </row>
    <row r="3" spans="1:22" ht="15" thickBot="1" x14ac:dyDescent="0.35">
      <c r="A3" s="599" t="s">
        <v>52</v>
      </c>
      <c r="B3" s="600">
        <f>+ROUNDUP(Spss_Univer!E6,0)</f>
        <v>546689</v>
      </c>
      <c r="C3" s="600">
        <f>+ROUND(Spss_Univer!F6,0)</f>
        <v>769791</v>
      </c>
      <c r="D3" s="600">
        <f>+ROUNDDOWN(Spss_Univer!G6,0)</f>
        <v>458482</v>
      </c>
      <c r="E3" s="601">
        <f>SUM(B3:D3)</f>
        <v>1774962</v>
      </c>
      <c r="F3" s="188">
        <f>SUM(E3:E4)</f>
        <v>2555554</v>
      </c>
      <c r="G3" s="44">
        <f>SUM(B3:D4)</f>
        <v>2555554</v>
      </c>
      <c r="K3" s="711" t="s">
        <v>52</v>
      </c>
      <c r="L3" s="712">
        <f>+ROUND(Spss_Univer!U8+Spss_Univer!V8,0)</f>
        <v>119484</v>
      </c>
      <c r="M3" s="712">
        <f>+ROUND(Spss_Univer!W8+Spss_Univer!X8,0)</f>
        <v>160003</v>
      </c>
      <c r="N3" s="712">
        <f>+ROUNDDOWN(Spss_Univer!Y8+Spss_Univer!Z8,0)</f>
        <v>70520</v>
      </c>
      <c r="O3" s="712">
        <f>SUM(L3:N3)</f>
        <v>350007</v>
      </c>
      <c r="P3" s="712">
        <f>+ROUND(Spss_Univer!U8+Spss_Univer!W8+Spss_Univer!Y8,0)</f>
        <v>179352</v>
      </c>
      <c r="Q3" s="713">
        <f>+ROUND(Spss_Univer!V8+Spss_Univer!X8+Spss_Univer!Z8,0)</f>
        <v>170655</v>
      </c>
      <c r="R3" s="371"/>
    </row>
    <row r="4" spans="1:22" ht="15" thickBot="1" x14ac:dyDescent="0.35">
      <c r="A4" s="602" t="s">
        <v>53</v>
      </c>
      <c r="B4" s="603">
        <f>+ROUNDDOWN(Spss_Univer!E7,0)</f>
        <v>48058</v>
      </c>
      <c r="C4" s="603">
        <f>+ROUND(Spss_Univer!F7,0)</f>
        <v>286162</v>
      </c>
      <c r="D4" s="603">
        <f>+ROUNDUP(Spss_Univer!G7,0)</f>
        <v>446372</v>
      </c>
      <c r="E4" s="601">
        <f>SUM(B4:D4)</f>
        <v>780592</v>
      </c>
      <c r="F4" t="s">
        <v>165</v>
      </c>
      <c r="K4" s="714" t="s">
        <v>53</v>
      </c>
      <c r="L4" s="715">
        <f>+ROUND(Spss_Univer!U9+Spss_Univer!V9,0)</f>
        <v>27136</v>
      </c>
      <c r="M4" s="715">
        <f>+ROUND(Spss_Univer!W9+Spss_Univer!X9,0)</f>
        <v>162953</v>
      </c>
      <c r="N4" s="715">
        <f>+ROUND(Spss_Univer!Y9+Spss_Univer!Z9,0)</f>
        <v>333800</v>
      </c>
      <c r="O4" s="715">
        <f>SUM(L4:N4)</f>
        <v>523889</v>
      </c>
      <c r="P4" s="715">
        <f>+ROUND(Spss_Univer!U9+Spss_Univer!W9+Spss_Univer!Y9,0)</f>
        <v>264951</v>
      </c>
      <c r="Q4" s="716">
        <f>+ROUND(Spss_Univer!V9+Spss_Univer!X9+Spss_Univer!Z9,0)</f>
        <v>258938</v>
      </c>
      <c r="R4" s="371">
        <f>SUM(L3:N4)</f>
        <v>873896</v>
      </c>
      <c r="S4" s="371">
        <f>SUM(P3:Q4)</f>
        <v>873896</v>
      </c>
    </row>
    <row r="5" spans="1:22" ht="15" thickBot="1" x14ac:dyDescent="0.35">
      <c r="A5" s="611" t="s">
        <v>57</v>
      </c>
      <c r="B5" s="612">
        <f>SUM(B3:B4)</f>
        <v>594747</v>
      </c>
      <c r="C5" s="612">
        <f t="shared" ref="C5:D5" si="0">SUM(C3:C4)</f>
        <v>1055953</v>
      </c>
      <c r="D5" s="612">
        <f t="shared" si="0"/>
        <v>904854</v>
      </c>
      <c r="E5" s="612">
        <f>SUM(E3:E4)</f>
        <v>2555554</v>
      </c>
      <c r="F5" s="750">
        <f>+B5/E5</f>
        <v>0.23272722861657394</v>
      </c>
      <c r="G5" s="750">
        <f>+C5/E5</f>
        <v>0.41319925151258785</v>
      </c>
      <c r="H5" s="751">
        <f>+D5/E5</f>
        <v>0.35407351987083818</v>
      </c>
      <c r="K5" s="707" t="s">
        <v>57</v>
      </c>
      <c r="L5" s="708">
        <f>SUM(L3:L4)</f>
        <v>146620</v>
      </c>
      <c r="M5" s="709">
        <f t="shared" ref="M5:N5" si="1">SUM(M3:M4)</f>
        <v>322956</v>
      </c>
      <c r="N5" s="709">
        <f t="shared" si="1"/>
        <v>404320</v>
      </c>
      <c r="O5" s="709">
        <f>SUM(O3:O4)</f>
        <v>873896</v>
      </c>
      <c r="P5" s="709">
        <f t="shared" ref="P5:Q5" si="2">SUM(P3:P4)</f>
        <v>444303</v>
      </c>
      <c r="Q5" s="710">
        <f t="shared" si="2"/>
        <v>429593</v>
      </c>
      <c r="R5" s="371">
        <f>SUM(L5:N5)</f>
        <v>873896</v>
      </c>
      <c r="S5" s="761">
        <f>SUM(P5:Q5)</f>
        <v>873896</v>
      </c>
    </row>
    <row r="6" spans="1:22" ht="15" thickBot="1" x14ac:dyDescent="0.35">
      <c r="A6" s="611" t="s">
        <v>88</v>
      </c>
      <c r="B6" s="612">
        <f>+B5</f>
        <v>594747</v>
      </c>
      <c r="C6" s="612">
        <f t="shared" ref="C6:E6" si="3">+C5</f>
        <v>1055953</v>
      </c>
      <c r="D6" s="612">
        <f t="shared" si="3"/>
        <v>904854</v>
      </c>
      <c r="E6" s="612">
        <f t="shared" si="3"/>
        <v>2555554</v>
      </c>
      <c r="F6" s="623"/>
      <c r="G6" s="628"/>
      <c r="K6" s="643" t="s">
        <v>88</v>
      </c>
      <c r="L6" s="698">
        <f>+L5</f>
        <v>146620</v>
      </c>
      <c r="M6" s="699">
        <f t="shared" ref="M6:Q6" si="4">+M5</f>
        <v>322956</v>
      </c>
      <c r="N6" s="699">
        <f t="shared" si="4"/>
        <v>404320</v>
      </c>
      <c r="O6" s="699">
        <f t="shared" si="4"/>
        <v>873896</v>
      </c>
      <c r="P6" s="699">
        <f t="shared" si="4"/>
        <v>444303</v>
      </c>
      <c r="Q6" s="700">
        <f t="shared" si="4"/>
        <v>429593</v>
      </c>
      <c r="R6" s="759">
        <f>SUM(L7:N7)</f>
        <v>1408728</v>
      </c>
      <c r="S6" s="760">
        <f>SUM(L8:N8)</f>
        <v>2043473</v>
      </c>
      <c r="T6" s="717"/>
    </row>
    <row r="7" spans="1:22" x14ac:dyDescent="0.3">
      <c r="A7" s="608" t="s">
        <v>141</v>
      </c>
      <c r="B7" s="609">
        <f>+ROUNDDOWN(Spss_Univer!E20+Spss_Univer!H20,0)</f>
        <v>2035081</v>
      </c>
      <c r="C7" s="609">
        <f>+ROUND(Spss_Univer!F20+Spss_Univer!I20,0)</f>
        <v>3196281</v>
      </c>
      <c r="D7" s="609">
        <f>+ROUND(Spss_Univer!G20+Spss_Univer!J20,0)</f>
        <v>1796100</v>
      </c>
      <c r="E7" s="610">
        <f>SUM(B7:D7)</f>
        <v>7027462</v>
      </c>
      <c r="F7" s="188"/>
      <c r="K7" s="643" t="s">
        <v>146</v>
      </c>
      <c r="L7" s="701">
        <f>+ROUND(SUM(Spss_Univer!W29:W35,Spss_Univer!Z29:Z35,Spss_Univer!AC29:AC35,Spss_Univer!AF29:AF35),0)</f>
        <v>470755</v>
      </c>
      <c r="M7" s="702">
        <f>+ROUND(SUM(Spss_Univer!X29:X35,Spss_Univer!AA29:AA35,Spss_Univer!AD29:AD35,Spss_Univer!AG29:AG35),0)</f>
        <v>654537</v>
      </c>
      <c r="N7" s="702">
        <f>+ROUNDUP(SUM(Spss_Univer!Y29:Y35,Spss_Univer!AB29:AB35,Spss_Univer!AE29:AE35,Spss_Univer!AH29:AH35),0)</f>
        <v>283436</v>
      </c>
      <c r="O7" s="703">
        <f>SUM(L7:N7)</f>
        <v>1408728</v>
      </c>
      <c r="P7" s="702">
        <f>+ROUND(SUM(Spss_Univer!W29:AB35),0)</f>
        <v>737772</v>
      </c>
      <c r="Q7" s="645">
        <f>+ROUND(SUM(Spss_Univer!AC29:AH35),0)</f>
        <v>670956</v>
      </c>
      <c r="R7" s="371">
        <f>SUM(P7:Q7)</f>
        <v>1408728</v>
      </c>
      <c r="S7" s="371">
        <f>SUM(P8:Q8)</f>
        <v>2043473.1597419137</v>
      </c>
    </row>
    <row r="8" spans="1:22" ht="15" thickBot="1" x14ac:dyDescent="0.35">
      <c r="A8" s="602" t="s">
        <v>142</v>
      </c>
      <c r="B8" s="603">
        <f>+Spss_Univer!E19+Spss_Univer!H19</f>
        <v>189529.62788713333</v>
      </c>
      <c r="C8" s="603">
        <f>+ROUNDDOWN(Spss_Univer!F19+Spss_Univer!I19,0)</f>
        <v>1059379</v>
      </c>
      <c r="D8" s="603">
        <f>+ROUND(Spss_Univer!G19+Spss_Univer!J19,0)</f>
        <v>1591346</v>
      </c>
      <c r="E8" s="610">
        <f>SUM(B8:D8)</f>
        <v>2840254.6278871335</v>
      </c>
      <c r="F8" s="450"/>
      <c r="K8" s="644" t="s">
        <v>164</v>
      </c>
      <c r="L8" s="704">
        <f>+ROUND(SUM(Spss_Univer!W22:W28,Spss_Univer!Z22:Z28,Spss_Univer!AC22:AC28,Spss_Univer!AF22:AF28),0)</f>
        <v>108509</v>
      </c>
      <c r="M8" s="705">
        <f>+ROUND(SUM(Spss_Univer!X22:X28,Spss_Univer!AA22:AA28,Spss_Univer!AD22:AD28,Spss_Univer!AG22:AG28),0)</f>
        <v>654418</v>
      </c>
      <c r="N8" s="705">
        <f>+ROUND(SUM(Spss_Univer!Y22:Y28,Spss_Univer!AB22:AB28,Spss_Univer!AE22:AE28,Spss_Univer!AH22:AH28),0)</f>
        <v>1280546</v>
      </c>
      <c r="O8" s="706">
        <f>SUM(L8:N8)</f>
        <v>2043473</v>
      </c>
      <c r="P8" s="705">
        <f>+ROUNDDOWN(SUM(Spss_Univer!W22:AB28),0)</f>
        <v>1082909</v>
      </c>
      <c r="Q8" s="646">
        <f>+SUM(Spss_Univer!AC22:AH28)</f>
        <v>960564.15974191367</v>
      </c>
      <c r="R8" s="762">
        <v>3452201.6854138202</v>
      </c>
      <c r="S8" s="371">
        <f>SUM(P7:Q8)</f>
        <v>3452201.1597419139</v>
      </c>
    </row>
    <row r="9" spans="1:22" ht="15" thickBot="1" x14ac:dyDescent="0.35">
      <c r="A9" s="364"/>
      <c r="B9" s="697">
        <f>+B7+B8</f>
        <v>2224610.6278871335</v>
      </c>
      <c r="C9" s="697">
        <f>+C7+C8</f>
        <v>4255660</v>
      </c>
      <c r="D9" s="697">
        <f t="shared" ref="D9" si="5">+D7+D8</f>
        <v>3387446</v>
      </c>
      <c r="E9" s="697">
        <f>+E7+E8</f>
        <v>9867716.6278871335</v>
      </c>
      <c r="K9" s="482"/>
      <c r="L9" s="718">
        <f>+L7+L8</f>
        <v>579264</v>
      </c>
      <c r="M9" s="718">
        <f t="shared" ref="M9:O9" si="6">+M7+M8</f>
        <v>1308955</v>
      </c>
      <c r="N9" s="718">
        <f t="shared" si="6"/>
        <v>1563982</v>
      </c>
      <c r="O9" s="718">
        <f t="shared" si="6"/>
        <v>3452201</v>
      </c>
      <c r="P9" s="718">
        <f>+P7+P8</f>
        <v>1820681</v>
      </c>
      <c r="Q9" s="718">
        <f>+Q7+Q8</f>
        <v>1631520.1597419137</v>
      </c>
      <c r="R9" s="371">
        <f>SUM(O7:O8)</f>
        <v>3452201</v>
      </c>
    </row>
    <row r="10" spans="1:22" x14ac:dyDescent="0.3">
      <c r="A10" s="613" t="s">
        <v>56</v>
      </c>
      <c r="B10" s="614">
        <f>SUM(B11:B12)</f>
        <v>2152886</v>
      </c>
      <c r="C10" s="614">
        <f>SUM(C11:C12)</f>
        <v>4088705</v>
      </c>
      <c r="D10" s="614">
        <f>SUM(D11:D12)</f>
        <v>3173354</v>
      </c>
      <c r="E10" s="614">
        <f>SUM(B10:D10)</f>
        <v>9414945</v>
      </c>
      <c r="F10" s="189"/>
      <c r="G10" s="623"/>
      <c r="K10" s="477" t="s">
        <v>56</v>
      </c>
      <c r="L10" s="470">
        <f>SUM(L11:L12)</f>
        <v>558129</v>
      </c>
      <c r="M10" s="470">
        <f t="shared" ref="M10:O10" si="7">SUM(M11:M12)</f>
        <v>1264018</v>
      </c>
      <c r="N10" s="470">
        <f>SUM(N11:N12)</f>
        <v>1486794</v>
      </c>
      <c r="O10" s="470">
        <f t="shared" si="7"/>
        <v>3308941</v>
      </c>
      <c r="P10" s="471">
        <f>SUM(P11:P12)</f>
        <v>1743923</v>
      </c>
      <c r="Q10" s="472">
        <f>SUM(Q11:Q12)</f>
        <v>1565018</v>
      </c>
      <c r="S10" s="371">
        <f>SUM(P10:Q10)</f>
        <v>3308941</v>
      </c>
    </row>
    <row r="11" spans="1:22" x14ac:dyDescent="0.3">
      <c r="A11" s="615" t="s">
        <v>64</v>
      </c>
      <c r="B11" s="625">
        <f>+ROUNDUP(SUM(Spss_Univer!G40:G45,Spss_Univer!J40:J45),0)</f>
        <v>1974602</v>
      </c>
      <c r="C11" s="616">
        <f>+ROUND(SUM(Spss_Univer!H40:H45,Spss_Univer!K40:K45),0)</f>
        <v>3064703</v>
      </c>
      <c r="D11" s="616">
        <f>+ROUND(SUM(Spss_Univer!I40:I45,Spss_Univer!L40:L45),0)</f>
        <v>1680860</v>
      </c>
      <c r="E11" s="617">
        <f>SUM(B11:D11)</f>
        <v>6720165</v>
      </c>
      <c r="F11" s="627"/>
      <c r="G11" s="627"/>
      <c r="H11" s="627"/>
      <c r="K11" s="630" t="s">
        <v>64</v>
      </c>
      <c r="L11" s="647">
        <f>+ROUND(SUM(Spss_Univer!W30:W35,Spss_Univer!Z30:Z35,Spss_Univer!AC30:AC35,Spss_Univer!AF30:AF35),0)</f>
        <v>453887</v>
      </c>
      <c r="M11" s="647">
        <f>+ROUND(SUM(Spss_Univer!X30:X35,Spss_Univer!AA30:AA35,Spss_Univer!AD30:AD35,Spss_Univer!AG30:AG35),0)</f>
        <v>630302</v>
      </c>
      <c r="N11" s="647">
        <f>+ROUND(SUM(Spss_Univer!Y30:Y35,Spss_Univer!AB30:AB35,Spss_Univer!AE30:AE35,Spss_Univer!AH30:AH35),0)</f>
        <v>268516</v>
      </c>
      <c r="O11" s="635">
        <f>SUM(L11:N11)</f>
        <v>1352705</v>
      </c>
      <c r="P11" s="649">
        <f>+ROUND(SUM(Spss_Univer!W30:AB35),0)</f>
        <v>704736</v>
      </c>
      <c r="Q11" s="650">
        <f>+ROUND(SUM(Spss_Univer!AC30:AH35),0)</f>
        <v>647969</v>
      </c>
      <c r="R11" s="761">
        <f>SUM(P11:Q11)</f>
        <v>1352705</v>
      </c>
      <c r="S11" s="371">
        <f>SUM(R11:R12)</f>
        <v>3308941</v>
      </c>
    </row>
    <row r="12" spans="1:22" ht="15" thickBot="1" x14ac:dyDescent="0.35">
      <c r="A12" s="602" t="s">
        <v>91</v>
      </c>
      <c r="B12" s="622">
        <f>+ROUND(SUM(Spss_Univer!G33:G38,Spss_Univer!J33:J38),0)</f>
        <v>178284</v>
      </c>
      <c r="C12" s="603">
        <f>+ROUNDDOWN(SUM(Spss_Univer!H33:H38,Spss_Univer!K33:K38),0)</f>
        <v>1024002</v>
      </c>
      <c r="D12" s="603">
        <f>+ROUND(SUM(Spss_Univer!I33:I38,Spss_Univer!L33:L38),0)</f>
        <v>1492494</v>
      </c>
      <c r="E12" s="617">
        <f>SUM(B12:D12)</f>
        <v>2694780</v>
      </c>
      <c r="K12" s="632" t="s">
        <v>91</v>
      </c>
      <c r="L12" s="785">
        <f>+ROUND(SUM(Spss_Univer!W23:W28,Spss_Univer!Z23:Z28,Spss_Univer!AC23:AC28,Spss_Univer!AF23:AF28),0)</f>
        <v>104242</v>
      </c>
      <c r="M12" s="785">
        <f>+ROUND(SUM(Spss_Univer!X23:X28,Spss_Univer!AA23:AA28,Spss_Univer!AD23:AD28,Spss_Univer!AG23:AG28),0)</f>
        <v>633716</v>
      </c>
      <c r="N12" s="785">
        <f>+ROUND(SUM(Spss_Univer!Y23:Y28,Spss_Univer!AB23:AB28,Spss_Univer!AE23:AE28,Spss_Univer!AH23:AH28),0)</f>
        <v>1218278</v>
      </c>
      <c r="O12" s="786">
        <f>SUM(L12:N12)</f>
        <v>1956236</v>
      </c>
      <c r="P12" s="787">
        <f>+ROUND(SUM(Spss_Univer!W23:AB28),0)</f>
        <v>1039187</v>
      </c>
      <c r="Q12" s="788">
        <f>+ROUND(SUM(Spss_Univer!AC23:AH28),0)</f>
        <v>917049</v>
      </c>
      <c r="R12" s="761">
        <f>SUM(P12:Q12)</f>
        <v>1956236</v>
      </c>
    </row>
    <row r="13" spans="1:22" ht="15" thickBot="1" x14ac:dyDescent="0.35">
      <c r="A13" s="364"/>
      <c r="B13" s="697">
        <f>+B11+B12</f>
        <v>2152886</v>
      </c>
      <c r="C13" s="697">
        <f>+C11+C12</f>
        <v>4088705</v>
      </c>
      <c r="D13" s="697">
        <f>+D11+D12</f>
        <v>3173354</v>
      </c>
      <c r="E13" s="697">
        <f t="shared" ref="E13" si="8">+E11+E12</f>
        <v>9414945</v>
      </c>
      <c r="K13" s="638"/>
      <c r="L13" s="789">
        <f>+L14+L15</f>
        <v>558129</v>
      </c>
      <c r="M13" s="789">
        <f t="shared" ref="M13:O13" si="9">+M14+M15</f>
        <v>1264017.6959084696</v>
      </c>
      <c r="N13" s="789">
        <f t="shared" si="9"/>
        <v>1486794</v>
      </c>
      <c r="O13" s="789">
        <f t="shared" si="9"/>
        <v>3308940.6959084696</v>
      </c>
      <c r="P13" s="789">
        <f>SUM(P14:P15)</f>
        <v>1743923</v>
      </c>
      <c r="Q13" s="790">
        <f>SUM(Q14:Q15)</f>
        <v>1565018</v>
      </c>
    </row>
    <row r="14" spans="1:22" ht="15" thickBot="1" x14ac:dyDescent="0.35">
      <c r="A14" s="613" t="s">
        <v>65</v>
      </c>
      <c r="B14" s="614">
        <f>+B19+B22+B25+B28+B31+B34</f>
        <v>1112164</v>
      </c>
      <c r="C14" s="614">
        <f>+C19+C22+C25+C28+C31+C34</f>
        <v>2113684</v>
      </c>
      <c r="D14" s="614">
        <f>+D19+D22+D25+D28+D31+D34</f>
        <v>1626807</v>
      </c>
      <c r="E14" s="618">
        <f>SUM(B14:D14)</f>
        <v>4852655</v>
      </c>
      <c r="F14" s="767"/>
      <c r="G14" s="767"/>
      <c r="H14" s="767"/>
      <c r="K14" s="639" t="s">
        <v>65</v>
      </c>
      <c r="L14" s="640">
        <f>+L19+L22+L25+L28+L31+L34</f>
        <v>286742</v>
      </c>
      <c r="M14" s="640">
        <f>+M19+M22+M25+M28+M31+M34</f>
        <v>662374.69590846973</v>
      </c>
      <c r="N14" s="640">
        <f>+N19+N22+N25+N28+N31+N34</f>
        <v>771149</v>
      </c>
      <c r="O14" s="640">
        <f>SUM(L14:N14)</f>
        <v>1720265.6959084696</v>
      </c>
      <c r="P14" s="641">
        <f>+P19+P22+P25+P28+P31+P34</f>
        <v>905483</v>
      </c>
      <c r="Q14" s="641">
        <f>+Q19+Q22+Q25+Q28+Q31+Q34</f>
        <v>814782</v>
      </c>
      <c r="R14" s="371">
        <f>SUM(O14:O15)</f>
        <v>3308940.6959084696</v>
      </c>
      <c r="S14" s="371">
        <f>SUM(P14:Q15)</f>
        <v>3308941</v>
      </c>
      <c r="T14" s="757"/>
      <c r="U14" s="312"/>
      <c r="V14" s="312"/>
    </row>
    <row r="15" spans="1:22" ht="15" thickBot="1" x14ac:dyDescent="0.35">
      <c r="A15" s="606" t="s">
        <v>66</v>
      </c>
      <c r="B15" s="752">
        <f>+B18+B21+B24+B27+B30+B33</f>
        <v>1040722</v>
      </c>
      <c r="C15" s="752">
        <f>+C18+C21+C24+C27+C30+C33</f>
        <v>1975021.302455731</v>
      </c>
      <c r="D15" s="752">
        <f>+D18+D21+D24+D27+D30+D33</f>
        <v>1546547</v>
      </c>
      <c r="E15" s="618">
        <f>SUM(B15:D15)</f>
        <v>4562290.3024557307</v>
      </c>
      <c r="F15" s="44"/>
      <c r="K15" s="632" t="s">
        <v>66</v>
      </c>
      <c r="L15" s="786">
        <f>+L18+L21+L24+L27+L30+L33</f>
        <v>271387</v>
      </c>
      <c r="M15" s="786">
        <f>+M18+M21+M24+M27+M30+M33</f>
        <v>601643</v>
      </c>
      <c r="N15" s="786">
        <f>+N18+N21+N24+N27+N30+N33</f>
        <v>715645</v>
      </c>
      <c r="O15" s="791">
        <f>SUM(L15:N15)</f>
        <v>1588675</v>
      </c>
      <c r="P15" s="792">
        <f>+P18+P21+P24+P27+P30+P33</f>
        <v>838440</v>
      </c>
      <c r="Q15" s="792">
        <f>+Q18+Q21+Q24+Q27+Q30+Q33</f>
        <v>750236</v>
      </c>
      <c r="R15" s="371"/>
      <c r="S15" s="371"/>
      <c r="U15" s="312"/>
      <c r="V15" s="312"/>
    </row>
    <row r="16" spans="1:22" ht="15" thickBot="1" x14ac:dyDescent="0.35">
      <c r="A16" s="364"/>
      <c r="B16" s="391">
        <f>+B14+B15</f>
        <v>2152886</v>
      </c>
      <c r="C16" s="391">
        <f t="shared" ref="C16:D16" si="10">+C14+C15</f>
        <v>4088705.3024557307</v>
      </c>
      <c r="D16" s="391">
        <f t="shared" si="10"/>
        <v>3173354</v>
      </c>
      <c r="E16" s="393">
        <f>SUM(B16:D16)</f>
        <v>9414945.3024557307</v>
      </c>
      <c r="F16" s="44"/>
      <c r="G16" s="44"/>
      <c r="K16" s="638"/>
      <c r="L16" s="793"/>
      <c r="M16" s="794"/>
      <c r="N16" s="795"/>
      <c r="O16" s="793"/>
      <c r="P16" s="794"/>
      <c r="Q16" s="796"/>
    </row>
    <row r="17" spans="1:22" x14ac:dyDescent="0.3">
      <c r="A17" s="613" t="s">
        <v>67</v>
      </c>
      <c r="B17" s="614">
        <f>+B18+B19</f>
        <v>224650</v>
      </c>
      <c r="C17" s="614">
        <f t="shared" ref="C17:D17" si="11">+C18+C19</f>
        <v>537123</v>
      </c>
      <c r="D17" s="614">
        <f t="shared" si="11"/>
        <v>544980</v>
      </c>
      <c r="E17" s="614">
        <f t="shared" ref="E17:E25" si="12">SUM(B17:D17)</f>
        <v>1306753</v>
      </c>
      <c r="F17" s="189"/>
      <c r="G17" s="44"/>
      <c r="K17" s="653" t="s">
        <v>67</v>
      </c>
      <c r="L17" s="654">
        <f>+L18+L19</f>
        <v>62810</v>
      </c>
      <c r="M17" s="654">
        <f t="shared" ref="M17:O17" si="13">+M18+M19</f>
        <v>175731</v>
      </c>
      <c r="N17" s="654">
        <f t="shared" si="13"/>
        <v>251078</v>
      </c>
      <c r="O17" s="654">
        <f t="shared" si="13"/>
        <v>489619</v>
      </c>
      <c r="P17" s="654">
        <f t="shared" ref="P17" si="14">+P18+P19</f>
        <v>270084</v>
      </c>
      <c r="Q17" s="654">
        <f t="shared" ref="Q17" si="15">+Q18+Q19</f>
        <v>219535</v>
      </c>
      <c r="R17" s="371"/>
      <c r="S17" s="371"/>
      <c r="T17" s="44"/>
      <c r="U17" s="44"/>
    </row>
    <row r="18" spans="1:22" x14ac:dyDescent="0.3">
      <c r="A18" s="615" t="s">
        <v>68</v>
      </c>
      <c r="B18" s="616">
        <f>+ROUND(Spss_Univer!G33+Spss_Univer!G40,0)</f>
        <v>105718</v>
      </c>
      <c r="C18" s="616">
        <f>+ROUND(Spss_Univer!H33+Spss_Univer!H40,0)</f>
        <v>266954</v>
      </c>
      <c r="D18" s="616">
        <f>+ROUND(Spss_Univer!I33+Spss_Univer!I40,0)</f>
        <v>269744</v>
      </c>
      <c r="E18" s="617">
        <f t="shared" si="12"/>
        <v>642416</v>
      </c>
      <c r="F18" s="324"/>
      <c r="K18" s="630" t="s">
        <v>68</v>
      </c>
      <c r="L18" s="633">
        <f>+ROUND(SUM(Spss_Univer!W23,Spss_Univer!W30,Spss_Univer!AC23,Spss_Univer!AC30),0)</f>
        <v>29312</v>
      </c>
      <c r="M18" s="633">
        <f>+ROUND(SUM(Spss_Univer!X23,Spss_Univer!X30,Spss_Univer!AD23,Spss_Univer!AD30),0)</f>
        <v>90481</v>
      </c>
      <c r="N18" s="633">
        <f>+ROUNDDOWN(SUM(Spss_Univer!Y23,Spss_Univer!Y30,Spss_Univer!AE23,Spss_Univer!AE30),0)</f>
        <v>131885</v>
      </c>
      <c r="O18" s="657">
        <f>SUM(L18:N18)</f>
        <v>251678</v>
      </c>
      <c r="P18" s="655">
        <f>+ROUND(SUM(Spss_Univer!W23:Y23,Spss_Univer!W30:Y30),0)</f>
        <v>140783</v>
      </c>
      <c r="Q18" s="650">
        <f>+ROUNDUP(SUM(Spss_Univer!AC23:AE23,Spss_Univer!AC30:AE30),0)</f>
        <v>110896</v>
      </c>
      <c r="R18" s="371">
        <f>SUM(P18:Q19)</f>
        <v>489619</v>
      </c>
      <c r="S18" s="371">
        <f>SUM(L18:N19)</f>
        <v>489619</v>
      </c>
      <c r="T18" s="44"/>
      <c r="U18" s="324"/>
      <c r="V18" s="324"/>
    </row>
    <row r="19" spans="1:22" ht="15" thickBot="1" x14ac:dyDescent="0.35">
      <c r="A19" s="602" t="s">
        <v>69</v>
      </c>
      <c r="B19" s="603">
        <f>+ROUND(Spss_Univer!J33+Spss_Univer!J40,0)</f>
        <v>118932</v>
      </c>
      <c r="C19" s="603">
        <f>+ROUND(Spss_Univer!K33+Spss_Univer!K40,0)</f>
        <v>270169</v>
      </c>
      <c r="D19" s="603">
        <f>+ROUND(Spss_Univer!L33+Spss_Univer!L40,0)</f>
        <v>275236</v>
      </c>
      <c r="E19" s="617">
        <f t="shared" si="12"/>
        <v>664337</v>
      </c>
      <c r="F19" s="324"/>
      <c r="K19" s="632" t="s">
        <v>69</v>
      </c>
      <c r="L19" s="634">
        <f>+ROUND(SUM(Spss_Univer!Z23,Spss_Univer!Z30,Spss_Univer!AF23,Spss_Univer!AF30),0)</f>
        <v>33498</v>
      </c>
      <c r="M19" s="634">
        <f>+ROUND(SUM(Spss_Univer!AA23,Spss_Univer!AA30,Spss_Univer!AG23,Spss_Univer!AG30),0)</f>
        <v>85250</v>
      </c>
      <c r="N19" s="634">
        <f>++ROUNDUP(SUM(Spss_Univer!AB23,Spss_Univer!AB30,Spss_Univer!AH23,Spss_Univer!AH30),0)</f>
        <v>119193</v>
      </c>
      <c r="O19" s="657">
        <f>SUM(L19:N19)</f>
        <v>237941</v>
      </c>
      <c r="P19" s="656">
        <f>+ROUND(SUM(Spss_Univer!Z23:AB23,Spss_Univer!Z30:AB30),0)</f>
        <v>129301</v>
      </c>
      <c r="Q19" s="652">
        <f>+ROUNDDOWN(SUM(Spss_Univer!AF23:AH23,Spss_Univer!AF30:AH30),0)</f>
        <v>108639</v>
      </c>
    </row>
    <row r="20" spans="1:22" x14ac:dyDescent="0.3">
      <c r="A20" s="613" t="s">
        <v>70</v>
      </c>
      <c r="B20" s="614">
        <f>+B21+B22</f>
        <v>210009</v>
      </c>
      <c r="C20" s="614">
        <f t="shared" ref="C20:D20" si="16">+C21+C22</f>
        <v>482797</v>
      </c>
      <c r="D20" s="614">
        <f t="shared" si="16"/>
        <v>358809</v>
      </c>
      <c r="E20" s="614">
        <f t="shared" si="12"/>
        <v>1051615</v>
      </c>
      <c r="F20" s="324"/>
      <c r="G20" s="189"/>
      <c r="H20" s="189"/>
      <c r="K20" s="653" t="s">
        <v>70</v>
      </c>
      <c r="L20" s="654">
        <f>SUM(L21:L22)</f>
        <v>61876</v>
      </c>
      <c r="M20" s="654">
        <f t="shared" ref="M20:N20" si="17">SUM(M21:M22)</f>
        <v>146544.69590846973</v>
      </c>
      <c r="N20" s="654">
        <f t="shared" si="17"/>
        <v>184563</v>
      </c>
      <c r="O20" s="654">
        <f>SUM(O21:O22)</f>
        <v>392983.69590846973</v>
      </c>
      <c r="P20" s="654">
        <f t="shared" ref="P20:Q20" si="18">SUM(P21:P22)</f>
        <v>207016</v>
      </c>
      <c r="Q20" s="654">
        <f t="shared" si="18"/>
        <v>185969</v>
      </c>
    </row>
    <row r="21" spans="1:22" x14ac:dyDescent="0.3">
      <c r="A21" s="615" t="s">
        <v>74</v>
      </c>
      <c r="B21" s="616">
        <f>+ROUND(Spss_Univer!G34+Spss_Univer!G41,0)</f>
        <v>124024</v>
      </c>
      <c r="C21" s="616">
        <f>+ROUND(Spss_Univer!H34+Spss_Univer!H41,0)</f>
        <v>247052</v>
      </c>
      <c r="D21" s="616">
        <f>+ROUND(Spss_Univer!I34+Spss_Univer!I41,0)</f>
        <v>162993</v>
      </c>
      <c r="E21" s="617">
        <f t="shared" si="12"/>
        <v>534069</v>
      </c>
      <c r="F21" s="324"/>
      <c r="G21" s="44"/>
      <c r="H21" s="44"/>
      <c r="K21" s="630" t="s">
        <v>74</v>
      </c>
      <c r="L21" s="633">
        <f>+ROUND(SUM(Spss_Univer!W24,Spss_Univer!W31,Spss_Univer!AC24,Spss_Univer!AC31),0)</f>
        <v>35715</v>
      </c>
      <c r="M21" s="633">
        <f>+ROUND(SUM(Spss_Univer!X24,Spss_Univer!X31,Spss_Univer!AD24,Spss_Univer!AD31),0)</f>
        <v>77327</v>
      </c>
      <c r="N21" s="633">
        <f>+ROUND(SUM(Spss_Univer!Y24,Spss_Univer!Y31,Spss_Univer!AE24,Spss_Univer!AE31),0)</f>
        <v>91299</v>
      </c>
      <c r="O21" s="631">
        <f>SUM(L21:N21)</f>
        <v>204341</v>
      </c>
      <c r="P21" s="655">
        <f>+ROUND(SUM(Spss_Univer!W24:Y24,Spss_Univer!W31:Y31),0)</f>
        <v>115245</v>
      </c>
      <c r="Q21" s="650">
        <f>+ROUND(SUM(Spss_Univer!AC24:AE24,Spss_Univer!AC31:AE31),0)</f>
        <v>89096</v>
      </c>
      <c r="R21" s="761">
        <f>SUM(L21:N21)</f>
        <v>204341</v>
      </c>
      <c r="S21" s="371">
        <f>SUM(P21:Q21)</f>
        <v>204341</v>
      </c>
    </row>
    <row r="22" spans="1:22" ht="15" thickBot="1" x14ac:dyDescent="0.35">
      <c r="A22" s="602" t="s">
        <v>75</v>
      </c>
      <c r="B22" s="603">
        <f>+ROUND(Spss_Univer!J34+Spss_Univer!J41,0)</f>
        <v>85985</v>
      </c>
      <c r="C22" s="603">
        <f>+ROUNDDOWN(Spss_Univer!K34+Spss_Univer!K41,0)</f>
        <v>235745</v>
      </c>
      <c r="D22" s="603">
        <f>+ROUND(Spss_Univer!L34+Spss_Univer!L41,0)</f>
        <v>195816</v>
      </c>
      <c r="E22" s="617">
        <f t="shared" si="12"/>
        <v>517546</v>
      </c>
      <c r="K22" s="632" t="s">
        <v>75</v>
      </c>
      <c r="L22" s="634">
        <f>+ROUND(SUM(Spss_Univer!Z24,Spss_Univer!Z31,Spss_Univer!AF24,Spss_Univer!AF31),0)</f>
        <v>26161</v>
      </c>
      <c r="M22" s="634">
        <f>+SUM(Spss_Univer!AA24,Spss_Univer!AA31,Spss_Univer!AG24,Spss_Univer!AG31)</f>
        <v>69217.69590846973</v>
      </c>
      <c r="N22" s="634">
        <f>+ROUND(SUM(Spss_Univer!AB24,Spss_Univer!AB31,Spss_Univer!AH24,Spss_Univer!AH31),0)</f>
        <v>93264</v>
      </c>
      <c r="O22" s="631">
        <f>SUM(L22:N22)</f>
        <v>188642.69590846973</v>
      </c>
      <c r="P22" s="656">
        <f>+ROUNDUP(SUM(Spss_Univer!Z24:AB24,Spss_Univer!Z31:AB31),0)</f>
        <v>91771</v>
      </c>
      <c r="Q22" s="652">
        <f>+ROUND(SUM(Spss_Univer!AF24:AH24,Spss_Univer!AF31:AH31),0)</f>
        <v>96873</v>
      </c>
      <c r="R22" s="761">
        <f>SUM(L22:N22)</f>
        <v>188642.69590846973</v>
      </c>
      <c r="S22" s="371">
        <f>SUM(P22:Q22)</f>
        <v>188644</v>
      </c>
    </row>
    <row r="23" spans="1:22" x14ac:dyDescent="0.3">
      <c r="A23" s="613" t="s">
        <v>71</v>
      </c>
      <c r="B23" s="614">
        <f>SUM(B24:B25)</f>
        <v>298740</v>
      </c>
      <c r="C23" s="614">
        <f t="shared" ref="C23:D23" si="19">SUM(C24:C25)</f>
        <v>673599</v>
      </c>
      <c r="D23" s="614">
        <f t="shared" si="19"/>
        <v>564463</v>
      </c>
      <c r="E23" s="614">
        <f t="shared" si="12"/>
        <v>1536802</v>
      </c>
      <c r="F23" s="189"/>
      <c r="G23" s="189"/>
      <c r="H23" s="189"/>
      <c r="K23" s="503" t="s">
        <v>71</v>
      </c>
      <c r="L23" s="504">
        <f>+L24+L25</f>
        <v>87676</v>
      </c>
      <c r="M23" s="504">
        <f t="shared" ref="M23:Q23" si="20">+M24+M25</f>
        <v>208590</v>
      </c>
      <c r="N23" s="504">
        <f t="shared" si="20"/>
        <v>280125</v>
      </c>
      <c r="O23" s="504">
        <f t="shared" si="20"/>
        <v>576391</v>
      </c>
      <c r="P23" s="504">
        <f t="shared" si="20"/>
        <v>305810</v>
      </c>
      <c r="Q23" s="504">
        <f t="shared" si="20"/>
        <v>270580</v>
      </c>
    </row>
    <row r="24" spans="1:22" x14ac:dyDescent="0.3">
      <c r="A24" s="615" t="s">
        <v>76</v>
      </c>
      <c r="B24" s="616">
        <f>+ROUND(Spss_Univer!G35+Spss_Univer!G42,0)</f>
        <v>143959</v>
      </c>
      <c r="C24" s="616">
        <f>+ROUND(Spss_Univer!H35+Spss_Univer!H42,0)</f>
        <v>336515</v>
      </c>
      <c r="D24" s="616">
        <f>+ROUND(Spss_Univer!I35+Spss_Univer!I42,0)</f>
        <v>276698</v>
      </c>
      <c r="E24" s="617">
        <f t="shared" si="12"/>
        <v>757172</v>
      </c>
      <c r="F24" s="44"/>
      <c r="G24" s="44"/>
      <c r="H24" s="44"/>
      <c r="K24" s="630" t="s">
        <v>76</v>
      </c>
      <c r="L24" s="633">
        <f>+ROUND(SUM(Spss_Univer!W25,Spss_Univer!W32,Spss_Univer!AC25,Spss_Univer!AC32),0)</f>
        <v>43108</v>
      </c>
      <c r="M24" s="633">
        <f>+ROUND(SUM(Spss_Univer!X25,Spss_Univer!X32,Spss_Univer!AD25,Spss_Univer!AD32),0)</f>
        <v>99511</v>
      </c>
      <c r="N24" s="633">
        <f>+ROUND(SUM(Spss_Univer!Y25,Spss_Univer!Y32,Spss_Univer!AE25,Spss_Univer!AE32),0)</f>
        <v>133435</v>
      </c>
      <c r="O24" s="631">
        <f>SUM(L24:N24)</f>
        <v>276054</v>
      </c>
      <c r="P24" s="655">
        <f>+ROUND(SUM(Spss_Univer!W25:Y25,Spss_Univer!W32:Y32),0)</f>
        <v>145247</v>
      </c>
      <c r="Q24" s="650">
        <f>+ROUNDDOWN(SUM(Spss_Univer!AC25:AE25,Spss_Univer!AC32:AE32),0)</f>
        <v>130806</v>
      </c>
      <c r="R24" s="761">
        <f>SUM(L24:N24)</f>
        <v>276054</v>
      </c>
      <c r="S24" s="761">
        <f>SUM(P24:Q24)</f>
        <v>276053</v>
      </c>
    </row>
    <row r="25" spans="1:22" ht="15" thickBot="1" x14ac:dyDescent="0.35">
      <c r="A25" s="602" t="s">
        <v>77</v>
      </c>
      <c r="B25" s="603">
        <f>+ROUND(Spss_Univer!J35+Spss_Univer!J42,0)</f>
        <v>154781</v>
      </c>
      <c r="C25" s="603">
        <f>+ROUND(Spss_Univer!K35+Spss_Univer!K42,0)</f>
        <v>337084</v>
      </c>
      <c r="D25" s="603">
        <f>+ROUNDUP(Spss_Univer!L35+Spss_Univer!L42,0)</f>
        <v>287765</v>
      </c>
      <c r="E25" s="604">
        <f t="shared" si="12"/>
        <v>779630</v>
      </c>
      <c r="F25" s="452"/>
      <c r="G25" s="452"/>
      <c r="H25" s="452"/>
      <c r="K25" s="632" t="s">
        <v>77</v>
      </c>
      <c r="L25" s="634">
        <f>+ROUND(SUM(Spss_Univer!Z25,Spss_Univer!Z32,Spss_Univer!AF25,Spss_Univer!AF32),0)</f>
        <v>44568</v>
      </c>
      <c r="M25" s="634">
        <f>+ROUND(SUM(Spss_Univer!AA25,Spss_Univer!AA32,Spss_Univer!AG25,Spss_Univer!AG32),0)</f>
        <v>109079</v>
      </c>
      <c r="N25" s="634">
        <f>+ROUND(SUM(Spss_Univer!AB25,Spss_Univer!AB32,Spss_Univer!AH25,Spss_Univer!AH32),0)</f>
        <v>146690</v>
      </c>
      <c r="O25" s="631">
        <f>SUM(L25:N25)</f>
        <v>300337</v>
      </c>
      <c r="P25" s="656">
        <f>+ROUND(SUM(Spss_Univer!Z25:AB25,Spss_Univer!Z32:AB32),0)</f>
        <v>160563</v>
      </c>
      <c r="Q25" s="652">
        <f>+ROUND(SUM(Spss_Univer!AF25:AH25,Spss_Univer!AF32:AH32),0)</f>
        <v>139774</v>
      </c>
      <c r="R25" s="761">
        <f>SUM(L25:N25)</f>
        <v>300337</v>
      </c>
      <c r="S25" s="761">
        <f>SUM(P25:Q25)</f>
        <v>300337</v>
      </c>
    </row>
    <row r="26" spans="1:22" x14ac:dyDescent="0.3">
      <c r="A26" s="605" t="s">
        <v>87</v>
      </c>
      <c r="B26" s="619">
        <f>+B27+B28</f>
        <v>414753</v>
      </c>
      <c r="C26" s="619">
        <f t="shared" ref="C26:D26" si="21">+C27+C28</f>
        <v>784482</v>
      </c>
      <c r="D26" s="619">
        <f t="shared" si="21"/>
        <v>678609</v>
      </c>
      <c r="E26" s="619">
        <f>+E27+E28</f>
        <v>1877844</v>
      </c>
      <c r="F26" s="189"/>
      <c r="G26" s="189"/>
      <c r="H26" s="189"/>
      <c r="K26" s="503" t="s">
        <v>87</v>
      </c>
      <c r="L26" s="508">
        <f>+L27+L28</f>
        <v>104336</v>
      </c>
      <c r="M26" s="508">
        <f t="shared" ref="M26:Q26" si="22">+M27+M28</f>
        <v>245219</v>
      </c>
      <c r="N26" s="508">
        <f t="shared" si="22"/>
        <v>312543</v>
      </c>
      <c r="O26" s="508">
        <f t="shared" si="22"/>
        <v>662098</v>
      </c>
      <c r="P26" s="508">
        <f t="shared" si="22"/>
        <v>344924</v>
      </c>
      <c r="Q26" s="508">
        <f t="shared" si="22"/>
        <v>317174</v>
      </c>
    </row>
    <row r="27" spans="1:22" x14ac:dyDescent="0.3">
      <c r="A27" s="615" t="s">
        <v>86</v>
      </c>
      <c r="B27" s="616">
        <f>+ROUND(Spss_Univer!G36+Spss_Univer!G43,0)</f>
        <v>197672</v>
      </c>
      <c r="C27" s="616">
        <f>+ROUND(Spss_Univer!H36+Spss_Univer!H43,0)</f>
        <v>377934</v>
      </c>
      <c r="D27" s="616">
        <f>+ROUND(Spss_Univer!I36+Spss_Univer!I43,0)</f>
        <v>344739</v>
      </c>
      <c r="E27" s="617">
        <f>SUM(B27:D27)</f>
        <v>920345</v>
      </c>
      <c r="K27" s="630" t="s">
        <v>86</v>
      </c>
      <c r="L27" s="633">
        <f>+ROUND(SUM(Spss_Univer!W26,Spss_Univer!W33,Spss_Univer!AC26,Spss_Univer!AC33),0)</f>
        <v>48111</v>
      </c>
      <c r="M27" s="633">
        <f>+ROUND(SUM(Spss_Univer!X26,Spss_Univer!X33,Spss_Univer!AD26,Spss_Univer!AD33),0)</f>
        <v>107646</v>
      </c>
      <c r="N27" s="633">
        <f>+ROUND(SUM(Spss_Univer!Y26,Spss_Univer!Y33,Spss_Univer!AE26,Spss_Univer!AE33),0)</f>
        <v>145285</v>
      </c>
      <c r="O27" s="631">
        <f>+L27+M27+N27</f>
        <v>301042</v>
      </c>
      <c r="P27" s="655">
        <f>+ROUND(SUM(Spss_Univer!W26:Y26,Spss_Univer!W33:Y33),0)</f>
        <v>152588</v>
      </c>
      <c r="Q27" s="650">
        <f>+ROUND(SUM(Spss_Univer!AC26:AE26,Spss_Univer!AC33:AE33),0)</f>
        <v>148454</v>
      </c>
      <c r="R27" s="761">
        <f>SUM(L27:N27)</f>
        <v>301042</v>
      </c>
      <c r="S27" s="761">
        <f>SUM(P27:Q27)</f>
        <v>301042</v>
      </c>
    </row>
    <row r="28" spans="1:22" ht="15" thickBot="1" x14ac:dyDescent="0.35">
      <c r="A28" s="602" t="s">
        <v>85</v>
      </c>
      <c r="B28" s="603">
        <f>+ROUNDDOWN(Spss_Univer!J36+Spss_Univer!J43,0)</f>
        <v>217081</v>
      </c>
      <c r="C28" s="603">
        <f>+ROUND(Spss_Univer!K36+Spss_Univer!K43,0)</f>
        <v>406548</v>
      </c>
      <c r="D28" s="603">
        <f>+ROUNDDOWN(Spss_Univer!L36+Spss_Univer!L43,0)</f>
        <v>333870</v>
      </c>
      <c r="E28" s="617">
        <f>SUM(B28:D28)</f>
        <v>957499</v>
      </c>
      <c r="K28" s="632" t="s">
        <v>85</v>
      </c>
      <c r="L28" s="634">
        <f>+ROUND(SUM(Spss_Univer!Z26,Spss_Univer!Z33,Spss_Univer!AF26,Spss_Univer!AF33),0)</f>
        <v>56225</v>
      </c>
      <c r="M28" s="634">
        <f>+ROUND(SUM(Spss_Univer!AA26,Spss_Univer!AA33,Spss_Univer!AG26,Spss_Univer!AG33),0)</f>
        <v>137573</v>
      </c>
      <c r="N28" s="634">
        <f>+ROUND(SUM(Spss_Univer!AB26,Spss_Univer!AB33,Spss_Univer!AH26,Spss_Univer!AH33),0)</f>
        <v>167258</v>
      </c>
      <c r="O28" s="631">
        <f>+L28+M28+N28</f>
        <v>361056</v>
      </c>
      <c r="P28" s="656">
        <f>+ROUND(SUM(Spss_Univer!Z26:AB26,Spss_Univer!Z33:AB33),0)</f>
        <v>192336</v>
      </c>
      <c r="Q28" s="652">
        <f>+ROUNDUP(SUM(Spss_Univer!AF26:AH26,Spss_Univer!AF33:AH33),0)</f>
        <v>168720</v>
      </c>
      <c r="R28" s="761">
        <f>SUM(L28:N28)</f>
        <v>361056</v>
      </c>
      <c r="S28" s="761">
        <f>SUM(P28:Q28)</f>
        <v>361056</v>
      </c>
    </row>
    <row r="29" spans="1:22" x14ac:dyDescent="0.3">
      <c r="A29" s="605" t="s">
        <v>72</v>
      </c>
      <c r="B29" s="619">
        <f>+B30+B31</f>
        <v>384870</v>
      </c>
      <c r="C29" s="619">
        <f t="shared" ref="C29:D29" si="23">+C30+C31</f>
        <v>734060.30245573097</v>
      </c>
      <c r="D29" s="619">
        <f t="shared" si="23"/>
        <v>505532</v>
      </c>
      <c r="E29" s="619">
        <f>SUM(E30:E31)</f>
        <v>1624462.302455731</v>
      </c>
      <c r="F29" s="189"/>
      <c r="K29" s="503" t="s">
        <v>72</v>
      </c>
      <c r="L29" s="504">
        <f>+L30+L31</f>
        <v>99155</v>
      </c>
      <c r="M29" s="504">
        <f t="shared" ref="M29:Q29" si="24">+M30+M31</f>
        <v>207420</v>
      </c>
      <c r="N29" s="504">
        <f t="shared" si="24"/>
        <v>203110</v>
      </c>
      <c r="O29" s="504">
        <f t="shared" si="24"/>
        <v>509685</v>
      </c>
      <c r="P29" s="504">
        <f t="shared" si="24"/>
        <v>261798</v>
      </c>
      <c r="Q29" s="504">
        <f t="shared" si="24"/>
        <v>247887</v>
      </c>
    </row>
    <row r="30" spans="1:22" x14ac:dyDescent="0.3">
      <c r="A30" s="615" t="s">
        <v>78</v>
      </c>
      <c r="B30" s="616">
        <f>+ROUND(Spss_Univer!G37+Spss_Univer!G44,0)</f>
        <v>181748</v>
      </c>
      <c r="C30" s="616">
        <f>+Spss_Univer!H37+Spss_Univer!H44</f>
        <v>336490.30245573097</v>
      </c>
      <c r="D30" s="616">
        <f>+ROUND(Spss_Univer!I37+Spss_Univer!I44,0)</f>
        <v>242679</v>
      </c>
      <c r="E30" s="617">
        <f>SUM(B30:D30)</f>
        <v>760917.30245573097</v>
      </c>
      <c r="K30" s="630" t="s">
        <v>78</v>
      </c>
      <c r="L30" s="633">
        <f>+ROUND(SUM(Spss_Univer!W27,Spss_Univer!W34,Spss_Univer!AC27,Spss_Univer!AC34),0)</f>
        <v>47370</v>
      </c>
      <c r="M30" s="633">
        <f>+ROUND(SUM(Spss_Univer!X27,Spss_Univer!X34,Spss_Univer!AD27,Spss_Univer!AD34),0)</f>
        <v>95276</v>
      </c>
      <c r="N30" s="633">
        <f>+ROUND(SUM(Spss_Univer!Y27,Spss_Univer!Y34,Spss_Univer!AE27,Spss_Univer!AE34),0)</f>
        <v>94666</v>
      </c>
      <c r="O30" s="631">
        <f>+L30+M30+N30</f>
        <v>237312</v>
      </c>
      <c r="P30" s="655">
        <f>+ROUND(SUM(Spss_Univer!W27:Y27,Spss_Univer!W34:Y34),0)</f>
        <v>120569</v>
      </c>
      <c r="Q30" s="650">
        <f>+ROUND(SUM(Spss_Univer!AC27:AE27,Spss_Univer!AC34:AE34),0)</f>
        <v>116743</v>
      </c>
      <c r="R30" s="761">
        <f>SUM(L30:N30)</f>
        <v>237312</v>
      </c>
      <c r="S30" s="371">
        <f>SUM(P30:Q30)</f>
        <v>237312</v>
      </c>
    </row>
    <row r="31" spans="1:22" ht="15" thickBot="1" x14ac:dyDescent="0.35">
      <c r="A31" s="602" t="s">
        <v>79</v>
      </c>
      <c r="B31" s="603">
        <f>+ROUND(Spss_Univer!J37+Spss_Univer!J44,0)</f>
        <v>203122</v>
      </c>
      <c r="C31" s="603">
        <f>+ROUND(Spss_Univer!K37+Spss_Univer!K44,0)</f>
        <v>397570</v>
      </c>
      <c r="D31" s="603">
        <f>+ROUND(Spss_Univer!L37+Spss_Univer!L44,0)</f>
        <v>262853</v>
      </c>
      <c r="E31" s="617">
        <f>SUM(B31:D31)</f>
        <v>863545</v>
      </c>
      <c r="K31" s="632" t="s">
        <v>79</v>
      </c>
      <c r="L31" s="634">
        <f>+ROUND(SUM(Spss_Univer!Z27,Spss_Univer!Z34,Spss_Univer!AF27,Spss_Univer!AF34),0)</f>
        <v>51785</v>
      </c>
      <c r="M31" s="634">
        <f>+ROUND(SUM(Spss_Univer!AA27,Spss_Univer!AA34,Spss_Univer!AG27,Spss_Univer!AG34),0)</f>
        <v>112144</v>
      </c>
      <c r="N31" s="634">
        <f>+ROUND(SUM(Spss_Univer!AB27,Spss_Univer!AB34,Spss_Univer!AH27,Spss_Univer!AH34),0)</f>
        <v>108444</v>
      </c>
      <c r="O31" s="631">
        <f>+L31+M31+N31</f>
        <v>272373</v>
      </c>
      <c r="P31" s="656">
        <f>+ROUND(SUM(Spss_Univer!Z27:AB27,Spss_Univer!Z34:AB34),0)</f>
        <v>141229</v>
      </c>
      <c r="Q31" s="652">
        <f>+ROUNDUP(SUM(Spss_Univer!AF27:AH27,Spss_Univer!AF34:AH34),0)</f>
        <v>131144</v>
      </c>
      <c r="R31" s="761">
        <f>SUM(L31:N31)</f>
        <v>272373</v>
      </c>
      <c r="S31" s="371">
        <f>SUM(P31:Q31)</f>
        <v>272373</v>
      </c>
    </row>
    <row r="32" spans="1:22" x14ac:dyDescent="0.3">
      <c r="A32" s="605" t="s">
        <v>73</v>
      </c>
      <c r="B32" s="619">
        <f>SUM(B33:B34)</f>
        <v>619864</v>
      </c>
      <c r="C32" s="619">
        <f t="shared" ref="C32:E32" si="25">SUM(C33:C34)</f>
        <v>876644</v>
      </c>
      <c r="D32" s="619">
        <f t="shared" si="25"/>
        <v>520961</v>
      </c>
      <c r="E32" s="619">
        <f t="shared" si="25"/>
        <v>2017469</v>
      </c>
      <c r="F32" s="189"/>
      <c r="K32" s="503" t="s">
        <v>73</v>
      </c>
      <c r="L32" s="504">
        <f>+L33+L34</f>
        <v>142276</v>
      </c>
      <c r="M32" s="504">
        <f t="shared" ref="M32:N32" si="26">+M33+M34</f>
        <v>280513</v>
      </c>
      <c r="N32" s="504">
        <f t="shared" si="26"/>
        <v>255375</v>
      </c>
      <c r="O32" s="505">
        <f>+O33+O34</f>
        <v>678164</v>
      </c>
      <c r="P32" s="500">
        <f>+P33+P34</f>
        <v>354291</v>
      </c>
      <c r="Q32" s="500">
        <f>+Q33+Q34</f>
        <v>323873</v>
      </c>
    </row>
    <row r="33" spans="1:19" x14ac:dyDescent="0.3">
      <c r="A33" s="615" t="s">
        <v>80</v>
      </c>
      <c r="B33" s="616">
        <f>+ROUND(Spss_Univer!G38+Spss_Univer!G45,0)</f>
        <v>287601</v>
      </c>
      <c r="C33" s="616">
        <f>+ROUND(Spss_Univer!H38+Spss_Univer!H45,0)</f>
        <v>410076</v>
      </c>
      <c r="D33" s="616">
        <f>+ROUND(Spss_Univer!I38+Spss_Univer!I45,0)</f>
        <v>249694</v>
      </c>
      <c r="E33" s="617">
        <f>SUM(B33:D33)</f>
        <v>947371</v>
      </c>
      <c r="K33" s="630" t="s">
        <v>80</v>
      </c>
      <c r="L33" s="633">
        <f>+ROUND(SUM(Spss_Univer!W28,Spss_Univer!W35,Spss_Univer!AC28,Spss_Univer!AC35),0)</f>
        <v>67771</v>
      </c>
      <c r="M33" s="633">
        <f>+ROUND(SUM(Spss_Univer!X28,Spss_Univer!X35,Spss_Univer!AD28,Spss_Univer!AD35),0)</f>
        <v>131402</v>
      </c>
      <c r="N33" s="633">
        <f>+ROUND(SUM(Spss_Univer!Y28,Spss_Univer!Y35,Spss_Univer!AE28,Spss_Univer!AE35),0)</f>
        <v>119075</v>
      </c>
      <c r="O33" s="657">
        <f>+L33+M33+N33</f>
        <v>318248</v>
      </c>
      <c r="P33" s="655">
        <f>+ROUNDUP(SUM(Spss_Univer!W28:Y28,Spss_Univer!W35:Y35),0)</f>
        <v>164008</v>
      </c>
      <c r="Q33" s="650">
        <f>+ROUNDDOWN(SUM(Spss_Univer!AC28:AE28,Spss_Univer!AC35:AE35),0)</f>
        <v>154241</v>
      </c>
      <c r="R33" s="761">
        <f>SUM(L33:N33)</f>
        <v>318248</v>
      </c>
      <c r="S33" s="371">
        <f>SUM(P33:Q33)</f>
        <v>318249</v>
      </c>
    </row>
    <row r="34" spans="1:19" ht="15" thickBot="1" x14ac:dyDescent="0.35">
      <c r="A34" s="602" t="s">
        <v>81</v>
      </c>
      <c r="B34" s="603">
        <f>+ROUND(Spss_Univer!J38+Spss_Univer!J45,0)</f>
        <v>332263</v>
      </c>
      <c r="C34" s="603">
        <f>+ROUND(Spss_Univer!K38+Spss_Univer!K45,0)</f>
        <v>466568</v>
      </c>
      <c r="D34" s="603">
        <f>+ROUNDUP(Spss_Univer!L38+Spss_Univer!L45,0)</f>
        <v>271267</v>
      </c>
      <c r="E34" s="617">
        <f>SUM(B34:D34)</f>
        <v>1070098</v>
      </c>
      <c r="K34" s="632" t="s">
        <v>81</v>
      </c>
      <c r="L34" s="634">
        <f>+ROUNDUP(SUM(Spss_Univer!Z28,Spss_Univer!Z35,Spss_Univer!AF28,Spss_Univer!AF35),0)</f>
        <v>74505</v>
      </c>
      <c r="M34" s="634">
        <f>+ROUND(SUM(Spss_Univer!AA28,Spss_Univer!AA35,Spss_Univer!AG28,Spss_Univer!AG35),0)</f>
        <v>149111</v>
      </c>
      <c r="N34" s="634">
        <f>+ROUNDUP(SUM(Spss_Univer!AB28,Spss_Univer!AB35,Spss_Univer!AH28,Spss_Univer!AH35),0)</f>
        <v>136300</v>
      </c>
      <c r="O34" s="657">
        <f>+L34+M34+N34</f>
        <v>359916</v>
      </c>
      <c r="P34" s="656">
        <f>+ROUND(SUM(Spss_Univer!Z28:AB28,Spss_Univer!Z35:AB35),0)</f>
        <v>190283</v>
      </c>
      <c r="Q34" s="652">
        <f>+ROUND(SUM(Spss_Univer!AF28:AH28,Spss_Univer!AF35:AH35),0)</f>
        <v>169632</v>
      </c>
      <c r="R34" s="761">
        <f>SUM(L34:N34)</f>
        <v>359916</v>
      </c>
      <c r="S34" s="371">
        <f>SUM(P34:Q34)</f>
        <v>359915</v>
      </c>
    </row>
    <row r="35" spans="1:19" ht="15" thickBot="1" x14ac:dyDescent="0.35">
      <c r="A35" s="364"/>
      <c r="B35" s="753"/>
      <c r="C35" s="754"/>
      <c r="D35" s="754"/>
      <c r="E35" s="755"/>
      <c r="K35" s="457"/>
      <c r="L35" s="453"/>
      <c r="M35" s="454"/>
      <c r="N35" s="455"/>
      <c r="O35" s="453"/>
      <c r="P35" s="454"/>
      <c r="Q35" s="456"/>
    </row>
    <row r="36" spans="1:19" ht="15" thickBot="1" x14ac:dyDescent="0.35">
      <c r="A36" s="613" t="s">
        <v>90</v>
      </c>
      <c r="B36" s="620">
        <f>+B24+B27+B30+B33</f>
        <v>810980</v>
      </c>
      <c r="C36" s="620">
        <f t="shared" ref="C36:D36" si="27">+C24+C27+C30+C33</f>
        <v>1461015.302455731</v>
      </c>
      <c r="D36" s="620">
        <f t="shared" si="27"/>
        <v>1113810</v>
      </c>
      <c r="E36" s="621">
        <f>SUM(B36:D36)</f>
        <v>3385805.3024557307</v>
      </c>
      <c r="F36" s="187"/>
      <c r="K36" s="469" t="s">
        <v>90</v>
      </c>
      <c r="L36" s="470">
        <f>+L24+L27+L30+L33</f>
        <v>206360</v>
      </c>
      <c r="M36" s="470">
        <f>+M24+M27+M30+M33</f>
        <v>433835</v>
      </c>
      <c r="N36" s="470">
        <f t="shared" ref="N36" si="28">+N24+N27+N30+N33</f>
        <v>492461</v>
      </c>
      <c r="O36" s="470">
        <f>SUM(L36:N36)</f>
        <v>1132656</v>
      </c>
      <c r="P36" s="471">
        <f>+P24+P27+P30+P33</f>
        <v>582412</v>
      </c>
      <c r="Q36" s="471">
        <f>+Q24+Q27+Q30+Q33</f>
        <v>550244</v>
      </c>
    </row>
    <row r="37" spans="1:19" ht="15" thickBot="1" x14ac:dyDescent="0.35">
      <c r="A37" s="606" t="s">
        <v>89</v>
      </c>
      <c r="B37" s="620">
        <f>+B25+B28+B31+B34</f>
        <v>907247</v>
      </c>
      <c r="C37" s="620">
        <f t="shared" ref="C37:D37" si="29">+C25+C28+C31+C34</f>
        <v>1607770</v>
      </c>
      <c r="D37" s="620">
        <f t="shared" si="29"/>
        <v>1155755</v>
      </c>
      <c r="E37" s="607">
        <f>SUM(B37:D37)</f>
        <v>3670772</v>
      </c>
      <c r="F37" s="187"/>
      <c r="K37" s="473" t="s">
        <v>89</v>
      </c>
      <c r="L37" s="474">
        <f>+L25+L28+L31+L34</f>
        <v>227083</v>
      </c>
      <c r="M37" s="474">
        <f t="shared" ref="M37:N37" si="30">+M25+M28+M31+M34</f>
        <v>507907</v>
      </c>
      <c r="N37" s="474">
        <f t="shared" si="30"/>
        <v>558692</v>
      </c>
      <c r="O37" s="470">
        <f>SUM(L37:N37)</f>
        <v>1293682</v>
      </c>
      <c r="P37" s="475">
        <f>+P25+P28+P31+P34</f>
        <v>684411</v>
      </c>
      <c r="Q37" s="475">
        <f>+Q25+Q28+Q31+Q34</f>
        <v>609270</v>
      </c>
    </row>
    <row r="38" spans="1:19" x14ac:dyDescent="0.3">
      <c r="E38" s="370">
        <f>+E37+E36</f>
        <v>7056577.3024557307</v>
      </c>
      <c r="F38" s="44"/>
    </row>
    <row r="39" spans="1:19" x14ac:dyDescent="0.3">
      <c r="E39" s="371"/>
      <c r="F39" s="44"/>
    </row>
    <row r="40" spans="1:19" x14ac:dyDescent="0.3">
      <c r="B40" s="371"/>
      <c r="C40" s="371"/>
      <c r="D40" s="371"/>
      <c r="E40" s="371"/>
      <c r="F40" s="189"/>
      <c r="K40" s="326"/>
    </row>
    <row r="41" spans="1:19" x14ac:dyDescent="0.3">
      <c r="B41" s="371"/>
      <c r="C41" s="371"/>
      <c r="D41" s="371"/>
      <c r="K41" s="326"/>
    </row>
    <row r="42" spans="1:19" x14ac:dyDescent="0.3">
      <c r="K42" s="326"/>
    </row>
    <row r="43" spans="1:19" x14ac:dyDescent="0.3">
      <c r="K43" s="326"/>
    </row>
    <row r="44" spans="1:19" x14ac:dyDescent="0.3">
      <c r="K44" s="326"/>
    </row>
    <row r="45" spans="1:19" x14ac:dyDescent="0.3">
      <c r="K45" s="326"/>
    </row>
    <row r="46" spans="1:19" x14ac:dyDescent="0.3">
      <c r="K46" s="326"/>
    </row>
    <row r="47" spans="1:19" x14ac:dyDescent="0.3">
      <c r="K47" s="326"/>
    </row>
    <row r="48" spans="1:19" x14ac:dyDescent="0.3">
      <c r="K48" s="326"/>
    </row>
    <row r="49" spans="11:11" x14ac:dyDescent="0.3">
      <c r="K49" s="326"/>
    </row>
    <row r="50" spans="11:11" x14ac:dyDescent="0.3">
      <c r="K50" s="326"/>
    </row>
    <row r="51" spans="11:11" x14ac:dyDescent="0.3">
      <c r="K51" s="326"/>
    </row>
    <row r="52" spans="11:11" x14ac:dyDescent="0.3">
      <c r="K52" s="326"/>
    </row>
    <row r="53" spans="11:11" x14ac:dyDescent="0.3">
      <c r="K53" s="326"/>
    </row>
    <row r="54" spans="11:11" x14ac:dyDescent="0.3">
      <c r="K54" s="326"/>
    </row>
    <row r="55" spans="11:11" x14ac:dyDescent="0.3">
      <c r="K55" s="326"/>
    </row>
    <row r="56" spans="11:11" x14ac:dyDescent="0.3">
      <c r="K56" s="326"/>
    </row>
    <row r="57" spans="11:11" x14ac:dyDescent="0.3">
      <c r="K57" s="326"/>
    </row>
    <row r="58" spans="11:11" x14ac:dyDescent="0.3">
      <c r="K58" s="326"/>
    </row>
    <row r="59" spans="11:11" x14ac:dyDescent="0.3">
      <c r="K59" s="326"/>
    </row>
    <row r="60" spans="11:11" x14ac:dyDescent="0.3">
      <c r="K60" s="326"/>
    </row>
    <row r="61" spans="11:11" x14ac:dyDescent="0.3">
      <c r="K61" s="326"/>
    </row>
    <row r="62" spans="11:11" x14ac:dyDescent="0.3">
      <c r="K62" s="326"/>
    </row>
    <row r="63" spans="11:11" x14ac:dyDescent="0.3">
      <c r="K63" s="326"/>
    </row>
    <row r="64" spans="11:11" x14ac:dyDescent="0.3">
      <c r="K64" s="326"/>
    </row>
    <row r="65" spans="11:11" x14ac:dyDescent="0.3">
      <c r="K65" s="326"/>
    </row>
    <row r="66" spans="11:11" x14ac:dyDescent="0.3">
      <c r="K66" s="326"/>
    </row>
    <row r="67" spans="11:11" x14ac:dyDescent="0.3">
      <c r="K67" s="326"/>
    </row>
    <row r="68" spans="11:11" x14ac:dyDescent="0.3">
      <c r="K68" s="326"/>
    </row>
    <row r="69" spans="11:11" x14ac:dyDescent="0.3">
      <c r="K69" s="326"/>
    </row>
    <row r="70" spans="11:11" x14ac:dyDescent="0.3">
      <c r="K70" s="326"/>
    </row>
    <row r="71" spans="11:11" x14ac:dyDescent="0.3">
      <c r="K71" s="326"/>
    </row>
    <row r="72" spans="11:11" x14ac:dyDescent="0.3">
      <c r="K72" s="326"/>
    </row>
    <row r="73" spans="11:11" x14ac:dyDescent="0.3">
      <c r="K73" s="326"/>
    </row>
    <row r="74" spans="11:11" x14ac:dyDescent="0.3">
      <c r="K74" s="326"/>
    </row>
    <row r="75" spans="11:11" x14ac:dyDescent="0.3">
      <c r="K75" s="326"/>
    </row>
    <row r="76" spans="11:11" x14ac:dyDescent="0.3">
      <c r="K76" s="326"/>
    </row>
    <row r="77" spans="11:11" x14ac:dyDescent="0.3">
      <c r="K77" s="326"/>
    </row>
    <row r="78" spans="11:11" x14ac:dyDescent="0.3">
      <c r="K78" s="326"/>
    </row>
    <row r="79" spans="11:11" x14ac:dyDescent="0.3">
      <c r="K79" s="326"/>
    </row>
    <row r="80" spans="11:11" x14ac:dyDescent="0.3">
      <c r="K80" s="326"/>
    </row>
    <row r="81" spans="11:11" x14ac:dyDescent="0.3">
      <c r="K81" s="326"/>
    </row>
    <row r="82" spans="11:11" x14ac:dyDescent="0.3">
      <c r="K82" s="326"/>
    </row>
    <row r="83" spans="11:11" x14ac:dyDescent="0.3">
      <c r="K83" s="326"/>
    </row>
    <row r="84" spans="11:11" x14ac:dyDescent="0.3">
      <c r="K84" s="326"/>
    </row>
    <row r="85" spans="11:11" x14ac:dyDescent="0.3">
      <c r="K85" s="326"/>
    </row>
    <row r="86" spans="11:11" x14ac:dyDescent="0.3">
      <c r="K86" s="326"/>
    </row>
  </sheetData>
  <mergeCells count="2">
    <mergeCell ref="K1:Q1"/>
    <mergeCell ref="A1:E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1C87FC"/>
  </sheetPr>
  <dimension ref="A1:AC86"/>
  <sheetViews>
    <sheetView topLeftCell="A22" workbookViewId="0">
      <selection activeCell="E40" sqref="E40"/>
    </sheetView>
  </sheetViews>
  <sheetFormatPr baseColWidth="10" defaultRowHeight="14.4" x14ac:dyDescent="0.3"/>
  <cols>
    <col min="1" max="1" width="27.109375" customWidth="1"/>
    <col min="2" max="4" width="10.5546875" style="45" customWidth="1"/>
    <col min="5" max="5" width="11.44140625" style="45"/>
    <col min="6" max="6" width="14" bestFit="1" customWidth="1"/>
    <col min="9" max="9" width="9.5546875" style="843" bestFit="1" customWidth="1"/>
    <col min="10" max="10" width="4.6640625" customWidth="1"/>
    <col min="11" max="11" width="24.88671875" bestFit="1" customWidth="1"/>
    <col min="12" max="12" width="10.44140625" bestFit="1" customWidth="1"/>
    <col min="13" max="15" width="11.44140625" bestFit="1" customWidth="1"/>
    <col min="16" max="16" width="11.88671875" bestFit="1" customWidth="1"/>
    <col min="17" max="17" width="10.44140625" bestFit="1" customWidth="1"/>
    <col min="18" max="18" width="19.109375" style="45" customWidth="1"/>
    <col min="19" max="19" width="12.5546875" style="45" customWidth="1"/>
    <col min="20" max="20" width="10.5546875" customWidth="1"/>
  </cols>
  <sheetData>
    <row r="1" spans="1:22" ht="16.2" thickBot="1" x14ac:dyDescent="0.35">
      <c r="A1" s="1231" t="s">
        <v>171</v>
      </c>
      <c r="B1" s="1231"/>
      <c r="C1" s="1231"/>
      <c r="D1" s="1231"/>
      <c r="E1" s="1231"/>
      <c r="K1" s="1230" t="s">
        <v>166</v>
      </c>
      <c r="L1" s="1230"/>
      <c r="M1" s="1230"/>
      <c r="N1" s="1230"/>
      <c r="O1" s="1230"/>
      <c r="P1" s="1230"/>
      <c r="Q1" s="1230"/>
    </row>
    <row r="2" spans="1:22" ht="15" thickBot="1" x14ac:dyDescent="0.35">
      <c r="A2" s="372"/>
      <c r="B2" s="373" t="s">
        <v>92</v>
      </c>
      <c r="C2" s="374" t="s">
        <v>6</v>
      </c>
      <c r="D2" s="374" t="s">
        <v>93</v>
      </c>
      <c r="E2" s="375" t="s">
        <v>116</v>
      </c>
      <c r="F2" s="151" t="s">
        <v>117</v>
      </c>
      <c r="K2" s="372"/>
      <c r="L2" s="478" t="s">
        <v>92</v>
      </c>
      <c r="M2" s="479" t="s">
        <v>6</v>
      </c>
      <c r="N2" s="801" t="s">
        <v>93</v>
      </c>
      <c r="O2" s="822" t="s">
        <v>116</v>
      </c>
      <c r="P2" s="823" t="s">
        <v>106</v>
      </c>
      <c r="Q2" s="824" t="s">
        <v>107</v>
      </c>
      <c r="R2" s="151" t="s">
        <v>117</v>
      </c>
    </row>
    <row r="3" spans="1:22" ht="15" thickBot="1" x14ac:dyDescent="0.35">
      <c r="A3" s="599" t="s">
        <v>52</v>
      </c>
      <c r="B3" s="600">
        <f>+ROUND(Spss_Univer_2017!E6,0)</f>
        <v>586530</v>
      </c>
      <c r="C3" s="600">
        <f>+ROUND(Spss_Univer_2017!F6,0)</f>
        <v>818818</v>
      </c>
      <c r="D3" s="600">
        <f>+ROUNDDOWN(Spss_Univer_2017!G6,0)</f>
        <v>352479</v>
      </c>
      <c r="E3" s="601">
        <f>SUM(B3:D3)</f>
        <v>1757827</v>
      </c>
      <c r="F3" s="188">
        <f>SUM(E3:E4)</f>
        <v>2601501</v>
      </c>
      <c r="G3" s="44">
        <f>SUM(B3:D4)</f>
        <v>2601501</v>
      </c>
      <c r="H3" s="324">
        <f>+SUM(Spss_Univer_2017!E6:G6)</f>
        <v>1757827.2209065158</v>
      </c>
      <c r="I3" s="843">
        <f>+H3-E3</f>
        <v>0.22090651583857834</v>
      </c>
      <c r="K3" s="711" t="s">
        <v>52</v>
      </c>
      <c r="L3" s="712">
        <f>+ROUND(Spss_Univer_2017!U8+Spss_Univer_2017!V8,0)</f>
        <v>145890</v>
      </c>
      <c r="M3" s="712">
        <f>+ROUND(Spss_Univer_2017!W8+Spss_Univer_2017!X8,0)</f>
        <v>209403</v>
      </c>
      <c r="N3" s="802">
        <f>+ROUNDUP(Spss_Univer_2017!Y8+Spss_Univer_2017!Z8,0)</f>
        <v>101222</v>
      </c>
      <c r="O3" s="825">
        <f>SUM(L3:N3)</f>
        <v>456515</v>
      </c>
      <c r="P3" s="826">
        <f>+ROUND(Spss_Univer_2017!U8+Spss_Univer_2017!W8+Spss_Univer_2017!Y8,0)</f>
        <v>230267</v>
      </c>
      <c r="Q3" s="827">
        <f>+ROUND(Spss_Univer_2017!V8+Spss_Univer_2017!X8+Spss_Univer_2017!Z8,0)</f>
        <v>226248</v>
      </c>
      <c r="R3" s="371">
        <f>SUM(L3:N3)</f>
        <v>456515</v>
      </c>
      <c r="S3" s="761">
        <f>SUM(P3:Q3)</f>
        <v>456515</v>
      </c>
      <c r="T3" s="927">
        <f>SUM(L3:N4)</f>
        <v>930382</v>
      </c>
    </row>
    <row r="4" spans="1:22" ht="15" thickBot="1" x14ac:dyDescent="0.35">
      <c r="A4" s="602" t="s">
        <v>53</v>
      </c>
      <c r="B4" s="603">
        <f>+ROUNDUP(Spss_Univer_2017!E7,0)</f>
        <v>62207</v>
      </c>
      <c r="C4" s="603">
        <f>+ROUND(Spss_Univer_2017!F7,0)</f>
        <v>326393</v>
      </c>
      <c r="D4" s="603">
        <f>+ROUNDUP(Spss_Univer_2017!G7,0)</f>
        <v>455074</v>
      </c>
      <c r="E4" s="601">
        <f>SUM(B4:D4)</f>
        <v>843674</v>
      </c>
      <c r="F4" s="44"/>
      <c r="H4" s="324">
        <f>+SUM(Spss_Univer_2017!E7:G7)</f>
        <v>843673.68735236023</v>
      </c>
      <c r="I4" s="843">
        <f>+H4-E4</f>
        <v>-0.31264763977378607</v>
      </c>
      <c r="K4" s="714" t="s">
        <v>53</v>
      </c>
      <c r="L4" s="715">
        <f>+ROUND(Spss_Univer_2017!U9+Spss_Univer_2017!V9,0)</f>
        <v>23887</v>
      </c>
      <c r="M4" s="715">
        <f>+ROUND(Spss_Univer_2017!W9+Spss_Univer_2017!X9,0)</f>
        <v>151318</v>
      </c>
      <c r="N4" s="803">
        <f>+ROUND(Spss_Univer_2017!Y9+Spss_Univer_2017!Z9,0)</f>
        <v>298662</v>
      </c>
      <c r="O4" s="828">
        <f>SUM(L4:N4)</f>
        <v>473867</v>
      </c>
      <c r="P4" s="715">
        <f>+ROUND(Spss_Univer_2017!U9+Spss_Univer_2017!W9+Spss_Univer_2017!Y9,0)</f>
        <v>237650</v>
      </c>
      <c r="Q4" s="716">
        <f>+ROUND(Spss_Univer_2017!V9+Spss_Univer_2017!X9+Spss_Univer_2017!Z9,0)</f>
        <v>236217</v>
      </c>
      <c r="R4" s="371">
        <f>SUM(L4:N4)</f>
        <v>473867</v>
      </c>
      <c r="S4" s="761">
        <f>SUM(P4:Q4)</f>
        <v>473867</v>
      </c>
      <c r="T4" s="927">
        <f>SUM(P3:Q4)</f>
        <v>930382</v>
      </c>
      <c r="U4" s="312"/>
    </row>
    <row r="5" spans="1:22" ht="15" thickBot="1" x14ac:dyDescent="0.35">
      <c r="A5" s="611" t="s">
        <v>57</v>
      </c>
      <c r="B5" s="612">
        <f>SUM(B3:B4)</f>
        <v>648737</v>
      </c>
      <c r="C5" s="612">
        <f t="shared" ref="C5:D5" si="0">SUM(C3:C4)</f>
        <v>1145211</v>
      </c>
      <c r="D5" s="612">
        <f t="shared" si="0"/>
        <v>807553</v>
      </c>
      <c r="E5" s="612">
        <f>SUM(E3:E4)</f>
        <v>2601501</v>
      </c>
      <c r="F5" s="844">
        <f>+B5/E5</f>
        <v>0.24937026739563045</v>
      </c>
      <c r="G5" s="844">
        <f>+C5/E5</f>
        <v>0.44021163166956306</v>
      </c>
      <c r="H5" s="845">
        <f>+D5/E5</f>
        <v>0.31041810093480648</v>
      </c>
      <c r="K5" s="707" t="s">
        <v>57</v>
      </c>
      <c r="L5" s="708">
        <f>SUM(L3:L4)</f>
        <v>169777</v>
      </c>
      <c r="M5" s="709">
        <f t="shared" ref="M5:N5" si="1">SUM(M3:M4)</f>
        <v>360721</v>
      </c>
      <c r="N5" s="804">
        <f t="shared" si="1"/>
        <v>399884</v>
      </c>
      <c r="O5" s="708">
        <f>SUM(O3:O4)</f>
        <v>930382</v>
      </c>
      <c r="P5" s="709">
        <f t="shared" ref="P5:Q5" si="2">SUM(P3:P4)</f>
        <v>467917</v>
      </c>
      <c r="Q5" s="710">
        <f t="shared" si="2"/>
        <v>462465</v>
      </c>
      <c r="R5" s="927">
        <f>SUM(L5:N5)</f>
        <v>930382</v>
      </c>
      <c r="S5" s="761">
        <f>SUM(P5:Q5)</f>
        <v>930382</v>
      </c>
      <c r="U5" s="312"/>
    </row>
    <row r="6" spans="1:22" ht="15" thickBot="1" x14ac:dyDescent="0.35">
      <c r="A6" s="611" t="s">
        <v>88</v>
      </c>
      <c r="B6" s="612">
        <f>+B5</f>
        <v>648737</v>
      </c>
      <c r="C6" s="612">
        <f t="shared" ref="C6:E6" si="3">+C5</f>
        <v>1145211</v>
      </c>
      <c r="D6" s="612">
        <f t="shared" si="3"/>
        <v>807553</v>
      </c>
      <c r="E6" s="612">
        <f t="shared" si="3"/>
        <v>2601501</v>
      </c>
      <c r="F6" s="623"/>
      <c r="G6" s="628"/>
      <c r="K6" s="643" t="s">
        <v>88</v>
      </c>
      <c r="L6" s="698">
        <f>+L5</f>
        <v>169777</v>
      </c>
      <c r="M6" s="699">
        <f t="shared" ref="M6:Q6" si="4">+M5</f>
        <v>360721</v>
      </c>
      <c r="N6" s="805">
        <f t="shared" si="4"/>
        <v>399884</v>
      </c>
      <c r="O6" s="698">
        <f>+O5</f>
        <v>930382</v>
      </c>
      <c r="P6" s="699">
        <f t="shared" si="4"/>
        <v>467917</v>
      </c>
      <c r="Q6" s="700">
        <f t="shared" si="4"/>
        <v>462465</v>
      </c>
      <c r="R6" s="761">
        <f>SUM(L7:N7)</f>
        <v>1742907</v>
      </c>
      <c r="S6" s="761">
        <f>SUM(L8:N8)</f>
        <v>1775961</v>
      </c>
      <c r="T6" s="717"/>
      <c r="U6" s="312"/>
    </row>
    <row r="7" spans="1:22" x14ac:dyDescent="0.3">
      <c r="A7" s="608" t="s">
        <v>141</v>
      </c>
      <c r="B7" s="609">
        <f>+ROUND(Spss_Univer_2017!E20+Spss_Univer_2017!H20,0)</f>
        <v>2190912</v>
      </c>
      <c r="C7" s="609">
        <f>+ROUND(Spss_Univer_2017!F20+Spss_Univer_2017!I20,0)</f>
        <v>3294950</v>
      </c>
      <c r="D7" s="609">
        <f>+ROUNDUP(Spss_Univer_2017!G20+Spss_Univer_2017!J20,0)</f>
        <v>1393736</v>
      </c>
      <c r="E7" s="610">
        <f>SUM(B7:D7)</f>
        <v>6879598</v>
      </c>
      <c r="F7" s="923">
        <f>+SUM(Spss_Univer_2017!E20:J20)</f>
        <v>6879597.9415145619</v>
      </c>
      <c r="G7" s="44">
        <f>+E7+E8</f>
        <v>10011582</v>
      </c>
      <c r="K7" s="643" t="s">
        <v>146</v>
      </c>
      <c r="L7" s="701">
        <f>+ROUND(SUM(Spss_Univer_2017!W29:W35,Spss_Univer_2017!Z29:Z35,Spss_Univer_2017!AC29:AC35,Spss_Univer_2017!AF29:AF35),0)</f>
        <v>545713</v>
      </c>
      <c r="M7" s="702">
        <f>+ROUND(SUM(Spss_Univer_2017!X29:X35,Spss_Univer_2017!AA29:AA35,Spss_Univer_2017!AD29:AD35,Spss_Univer_2017!AG29:AG35),0)</f>
        <v>808415</v>
      </c>
      <c r="N7" s="806">
        <f>+ROUNDUP(SUM(Spss_Univer_2017!Y29:Y35,Spss_Univer_2017!AB29:AB35,Spss_Univer_2017!AE29:AE35,Spss_Univer_2017!AH29:AH35),0)</f>
        <v>388779</v>
      </c>
      <c r="O7" s="829">
        <f>SUM(L7:N7)</f>
        <v>1742907</v>
      </c>
      <c r="P7" s="702">
        <f>+ROUNDDOWN(SUM(Spss_Univer_2017!W29:AB35),0)</f>
        <v>913040</v>
      </c>
      <c r="Q7" s="645">
        <f>+ROUNDUP(SUM(Spss_Univer_2017!AC29:AH35),0)</f>
        <v>829867</v>
      </c>
      <c r="R7" s="761">
        <f>SUM(P7:Q7)</f>
        <v>1742907</v>
      </c>
      <c r="S7" s="761">
        <f>SUM(P8:Q8)</f>
        <v>1775961</v>
      </c>
      <c r="U7" s="312"/>
    </row>
    <row r="8" spans="1:22" ht="15" thickBot="1" x14ac:dyDescent="0.35">
      <c r="A8" s="602" t="s">
        <v>142</v>
      </c>
      <c r="B8" s="603">
        <f>+ROUND(Spss_Univer_2017!E19+Spss_Univer_2017!H19,0)</f>
        <v>215408</v>
      </c>
      <c r="C8" s="603">
        <f>+ROUND(Spss_Univer_2017!F19+Spss_Univer_2017!I19,0)</f>
        <v>1273121</v>
      </c>
      <c r="D8" s="603">
        <f>+ROUND(Spss_Univer_2017!G19+Spss_Univer_2017!J19,0)</f>
        <v>1643455</v>
      </c>
      <c r="E8" s="610">
        <f>SUM(B8:D8)</f>
        <v>3131984</v>
      </c>
      <c r="F8" s="623">
        <f>+SUM(Spss_Univer_2017!E19:J19)</f>
        <v>3131984.5065774866</v>
      </c>
      <c r="K8" s="644" t="s">
        <v>164</v>
      </c>
      <c r="L8" s="704">
        <f>+ROUND(SUM(Spss_Univer_2017!W22:W28,Spss_Univer_2017!Z22:Z28,Spss_Univer_2017!AC22:AC28,Spss_Univer_2017!AF22:AF28),0)</f>
        <v>86761</v>
      </c>
      <c r="M8" s="705">
        <f>+ROUND(SUM(Spss_Univer_2017!X22:X28,Spss_Univer_2017!AA22:AA28,Spss_Univer_2017!AD22:AD28,Spss_Univer_2017!AG22:AG28),0)</f>
        <v>566841</v>
      </c>
      <c r="N8" s="807">
        <f>+ROUND(SUM(Spss_Univer_2017!Y22:Y28,Spss_Univer_2017!AB22:AB28,Spss_Univer_2017!AE22:AE28,Spss_Univer_2017!AH22:AH28),0)</f>
        <v>1122359</v>
      </c>
      <c r="O8" s="830">
        <f>SUM(L8:N8)</f>
        <v>1775961</v>
      </c>
      <c r="P8" s="705">
        <f>+ROUNDUP(SUM(Spss_Univer_2017!W22:AB28),0)</f>
        <v>937391</v>
      </c>
      <c r="Q8" s="646">
        <f>+ROUND(SUM(Spss_Univer_2017!AC22:AH28),0)</f>
        <v>838570</v>
      </c>
      <c r="R8" s="761">
        <f>SUM(L7:N8)</f>
        <v>3518868</v>
      </c>
      <c r="S8" s="761">
        <f>SUM(P7:Q8)</f>
        <v>3518868</v>
      </c>
      <c r="U8" s="312"/>
    </row>
    <row r="9" spans="1:22" ht="15" thickBot="1" x14ac:dyDescent="0.35">
      <c r="A9" s="364"/>
      <c r="B9" s="697">
        <f>+B7+B8</f>
        <v>2406320</v>
      </c>
      <c r="C9" s="697">
        <f>+C7+C8</f>
        <v>4568071</v>
      </c>
      <c r="D9" s="697">
        <f>+D7+D8</f>
        <v>3037191</v>
      </c>
      <c r="E9" s="697">
        <f>+E7+E8</f>
        <v>10011582</v>
      </c>
      <c r="F9" s="896">
        <f>+SUM(Spss_Univer_2017!E19:J22)</f>
        <v>10073694.999999886</v>
      </c>
      <c r="G9" s="896">
        <f>+SUM(Spss_Univer_2017!E19:J20)</f>
        <v>10011582.448092047</v>
      </c>
      <c r="H9" s="44"/>
      <c r="K9" s="482"/>
      <c r="L9" s="718">
        <f>+L7+L8</f>
        <v>632474</v>
      </c>
      <c r="M9" s="718">
        <f>+M7+M8</f>
        <v>1375256</v>
      </c>
      <c r="N9" s="718">
        <f t="shared" ref="N9" si="5">+N7+N8</f>
        <v>1511138</v>
      </c>
      <c r="O9" s="831">
        <f>+O7+O8</f>
        <v>3518868</v>
      </c>
      <c r="P9" s="718">
        <f>+P7+P8</f>
        <v>1850431</v>
      </c>
      <c r="Q9" s="832">
        <f>+Q7+Q8</f>
        <v>1668437</v>
      </c>
      <c r="R9" s="761">
        <f>SUM(O7:O8)</f>
        <v>3518868</v>
      </c>
      <c r="S9" s="761" t="s">
        <v>172</v>
      </c>
    </row>
    <row r="10" spans="1:22" x14ac:dyDescent="0.3">
      <c r="A10" s="613" t="s">
        <v>56</v>
      </c>
      <c r="B10" s="614">
        <f>SUM(B11:B12)</f>
        <v>2351166</v>
      </c>
      <c r="C10" s="614">
        <f>SUM(C11:C12)</f>
        <v>4404459</v>
      </c>
      <c r="D10" s="614">
        <f>SUM(D11:D12)</f>
        <v>2893152</v>
      </c>
      <c r="E10" s="925">
        <f>SUM(B10:D10)</f>
        <v>9648777</v>
      </c>
      <c r="F10" s="189"/>
      <c r="G10" s="623"/>
      <c r="K10" s="477" t="s">
        <v>56</v>
      </c>
      <c r="L10" s="470">
        <f>SUM(L11:L12)</f>
        <v>618692</v>
      </c>
      <c r="M10" s="470">
        <f>SUM(M11:M12)</f>
        <v>1332881</v>
      </c>
      <c r="N10" s="808">
        <f t="shared" ref="N10:O10" si="6">SUM(N11:N12)</f>
        <v>1440047</v>
      </c>
      <c r="O10" s="470">
        <f t="shared" si="6"/>
        <v>3391620</v>
      </c>
      <c r="P10" s="471">
        <f>SUM(P11:P12)</f>
        <v>1781090</v>
      </c>
      <c r="Q10" s="472">
        <f>SUM(Q11:Q12)</f>
        <v>1610530</v>
      </c>
      <c r="R10" s="761">
        <f>+L10+M10+N10</f>
        <v>3391620</v>
      </c>
      <c r="S10" s="371">
        <f>+P10+Q10</f>
        <v>3391620</v>
      </c>
      <c r="T10" s="927">
        <f>SUM(P10:Q10)</f>
        <v>3391620</v>
      </c>
      <c r="U10" s="312"/>
    </row>
    <row r="11" spans="1:22" x14ac:dyDescent="0.3">
      <c r="A11" s="615" t="s">
        <v>64</v>
      </c>
      <c r="B11" s="625">
        <f>+ROUND(SUM(Spss_Univer_2017!G40:G45,Spss_Univer_2017!J40:J45),0)</f>
        <v>2139625</v>
      </c>
      <c r="C11" s="616">
        <f>+ROUNDUP(SUM(Spss_Univer_2017!H40:H45,Spss_Univer_2017!K40:K45),0)</f>
        <v>3181513</v>
      </c>
      <c r="D11" s="616">
        <f>+ROUNDDOWN(SUM(Spss_Univer_2017!I40:I45,Spss_Univer_2017!L40:L45),0)</f>
        <v>1332957</v>
      </c>
      <c r="E11" s="617">
        <f>SUM(B11:D11)</f>
        <v>6654095</v>
      </c>
      <c r="F11" s="44">
        <f>+SUM(Spss_Univer_2017!G40:L45)</f>
        <v>6654094.8769477447</v>
      </c>
      <c r="G11" s="627">
        <f>+F11+F12</f>
        <v>9648777.375786528</v>
      </c>
      <c r="H11" s="627">
        <f>+SUM(Spss_Univer_2017!G33:L38,Spss_Univer_2017!G40:L45)</f>
        <v>9648777.375786528</v>
      </c>
      <c r="K11" s="630" t="s">
        <v>64</v>
      </c>
      <c r="L11" s="647">
        <f>+ROUNDUP(SUM(Spss_Univer_2017!W30:W35,Spss_Univer_2017!Z30:Z35,Spss_Univer_2017!AC30:AC35,Spss_Univer_2017!AF30:AF35),0)</f>
        <v>535078</v>
      </c>
      <c r="M11" s="647">
        <f>+ROUND(SUM(Spss_Univer_2017!X30:X35,Spss_Univer_2017!AA30:AA35,Spss_Univer_2017!AD30:AD35,Spss_Univer_2017!AG30:AG35),0)</f>
        <v>783341</v>
      </c>
      <c r="N11" s="809">
        <f>+ROUNDDOWN(SUM(Spss_Univer_2017!Y30:Y35,Spss_Univer_2017!AB30:AB35,Spss_Univer_2017!AE30:AE35,Spss_Univer_2017!AH30:AH35),0)</f>
        <v>372119</v>
      </c>
      <c r="O11" s="635">
        <f>SUM(L11:N11)</f>
        <v>1690538</v>
      </c>
      <c r="P11" s="649">
        <f>+ROUND(SUM(Spss_Univer_2017!W30:AB35),0)</f>
        <v>886544</v>
      </c>
      <c r="Q11" s="650">
        <f>+ROUNDDOWN(SUM(Spss_Univer_2017!AC30:AH35),0)</f>
        <v>803994</v>
      </c>
      <c r="R11" s="761">
        <f>SUM(L11:N11)</f>
        <v>1690538</v>
      </c>
      <c r="S11" s="761">
        <f>SUM(P11:Q11)</f>
        <v>1690538</v>
      </c>
      <c r="T11" s="761">
        <f>SUM(R11:R12)</f>
        <v>3391620</v>
      </c>
      <c r="U11" s="312"/>
    </row>
    <row r="12" spans="1:22" ht="15" thickBot="1" x14ac:dyDescent="0.35">
      <c r="A12" s="602" t="s">
        <v>91</v>
      </c>
      <c r="B12" s="622">
        <f>+ROUNDDOWN(SUM(Spss_Univer_2017!G33:G38,Spss_Univer_2017!J33:J38),0)</f>
        <v>211541</v>
      </c>
      <c r="C12" s="603">
        <f>+ROUNDDOWN(SUM(Spss_Univer_2017!H33:H38,Spss_Univer_2017!K33:K38),0)</f>
        <v>1222946</v>
      </c>
      <c r="D12" s="603">
        <f>+ROUNDUP(SUM(Spss_Univer_2017!I33:I38,Spss_Univer_2017!L33:L38),0)</f>
        <v>1560195</v>
      </c>
      <c r="E12" s="617">
        <f>SUM(B12:D12)</f>
        <v>2994682</v>
      </c>
      <c r="F12" s="324">
        <f>+SUM(Spss_Univer_2017!G33:L38)</f>
        <v>2994682.4988387842</v>
      </c>
      <c r="K12" s="632" t="s">
        <v>91</v>
      </c>
      <c r="L12" s="648">
        <f>+ROUND(SUM(Spss_Univer_2017!W23:W28,Spss_Univer_2017!Z23:Z28,Spss_Univer_2017!AC23:AC28,Spss_Univer_2017!AF23:AF28),0)</f>
        <v>83614</v>
      </c>
      <c r="M12" s="648">
        <f>+ROUNDDOWN(SUM(Spss_Univer_2017!X23:X28,Spss_Univer_2017!AA23:AA28,Spss_Univer_2017!AD23:AD28,Spss_Univer_2017!AG23:AG28),0)</f>
        <v>549540</v>
      </c>
      <c r="N12" s="810">
        <f>+ROUND(SUM(Spss_Univer_2017!Y23:Y28,Spss_Univer_2017!AB23:AB28,Spss_Univer_2017!AE23:AE28,Spss_Univer_2017!AH23:AH28),0)</f>
        <v>1067928</v>
      </c>
      <c r="O12" s="635">
        <f>SUM(L12:N12)</f>
        <v>1701082</v>
      </c>
      <c r="P12" s="651">
        <f>+ROUNDUP(SUM(Spss_Univer_2017!W23:AB28),0)</f>
        <v>894546</v>
      </c>
      <c r="Q12" s="652">
        <f>+ROUND(SUM(Spss_Univer_2017!AC23:AH28),0)-1</f>
        <v>806536</v>
      </c>
      <c r="R12" s="761">
        <f>SUM(L12:N12)</f>
        <v>1701082</v>
      </c>
      <c r="S12" s="761">
        <f>SUM(P12:Q12)</f>
        <v>1701082</v>
      </c>
      <c r="T12" s="761">
        <f>SUM(L11:N12)</f>
        <v>3391620</v>
      </c>
      <c r="U12" s="312"/>
    </row>
    <row r="13" spans="1:22" ht="15" thickBot="1" x14ac:dyDescent="0.35">
      <c r="A13" s="364"/>
      <c r="B13" s="697">
        <f>+B11+B12</f>
        <v>2351166</v>
      </c>
      <c r="C13" s="697">
        <f>+C11+C12</f>
        <v>4404459</v>
      </c>
      <c r="D13" s="697">
        <f>+D11+D12</f>
        <v>2893152</v>
      </c>
      <c r="E13" s="697">
        <f>+E11+E12</f>
        <v>9648777</v>
      </c>
      <c r="K13" s="638"/>
      <c r="L13" s="929">
        <f>+L14+L15</f>
        <v>618692</v>
      </c>
      <c r="M13" s="929">
        <f>+M14+M15</f>
        <v>1332881</v>
      </c>
      <c r="N13" s="930">
        <f t="shared" ref="N13" si="7">+N14+N15</f>
        <v>1440047</v>
      </c>
      <c r="O13" s="929">
        <f>+O14+O15</f>
        <v>3391620</v>
      </c>
      <c r="P13" s="931">
        <f>SUM(P14:P15)</f>
        <v>1781090</v>
      </c>
      <c r="Q13" s="932">
        <f>SUM(Q14:Q15)</f>
        <v>1610530</v>
      </c>
      <c r="R13" s="927">
        <f>+R12+R11</f>
        <v>3391620</v>
      </c>
      <c r="S13" s="927">
        <f>+S12+S11</f>
        <v>3391620</v>
      </c>
      <c r="U13" s="175"/>
    </row>
    <row r="14" spans="1:22" ht="15" thickBot="1" x14ac:dyDescent="0.35">
      <c r="A14" s="613" t="s">
        <v>65</v>
      </c>
      <c r="B14" s="614">
        <f>+B19+B22+B25+B28+B31+B34</f>
        <v>1189644</v>
      </c>
      <c r="C14" s="614">
        <f>+C19+C22+C25+C28+C31+C34</f>
        <v>2289179</v>
      </c>
      <c r="D14" s="614">
        <f>+D19+D22+D25+D28+D31+D34</f>
        <v>1480827</v>
      </c>
      <c r="E14" s="618">
        <f>SUM(B14:D14)</f>
        <v>4959650</v>
      </c>
      <c r="F14" s="189">
        <f>(SUM(Spss_Univer_2017!J33:L38,Spss_Univer_2017!J40:L45))</f>
        <v>4959652.7852568915</v>
      </c>
      <c r="G14" s="767">
        <f>+E14+E15</f>
        <v>9648777.1763422806</v>
      </c>
      <c r="H14" s="767"/>
      <c r="K14" s="639" t="s">
        <v>65</v>
      </c>
      <c r="L14" s="640">
        <f>+L19+L22+L25+L28+L31+L34</f>
        <v>321163</v>
      </c>
      <c r="M14" s="640">
        <f>+M19+M22+M25+M28+M31+M34</f>
        <v>700652</v>
      </c>
      <c r="N14" s="811">
        <f>+N19+N22+N25+N28+N31+N34</f>
        <v>737741</v>
      </c>
      <c r="O14" s="640">
        <f>SUM(L14:N14)</f>
        <v>1759556</v>
      </c>
      <c r="P14" s="641">
        <f>+P19+P22+P25+P28+P31+P34</f>
        <v>925340</v>
      </c>
      <c r="Q14" s="833">
        <f>+Q19+Q22+Q25+Q28+Q31+Q34</f>
        <v>834216</v>
      </c>
      <c r="R14" s="761">
        <f>SUM(L14:N14)</f>
        <v>1759556</v>
      </c>
      <c r="S14" s="761">
        <f>SUM(P14:Q14)</f>
        <v>1759556</v>
      </c>
      <c r="T14" s="761">
        <f>SUM(P14:Q15)</f>
        <v>3391620</v>
      </c>
      <c r="U14" s="312"/>
      <c r="V14" s="312"/>
    </row>
    <row r="15" spans="1:22" ht="15" thickBot="1" x14ac:dyDescent="0.35">
      <c r="A15" s="606" t="s">
        <v>66</v>
      </c>
      <c r="B15" s="752">
        <f>+B18+B21+B24+B27+B30+B33</f>
        <v>1161522</v>
      </c>
      <c r="C15" s="752">
        <f>+C18+C21+C24+C27+C30+C33</f>
        <v>2115280.1763422806</v>
      </c>
      <c r="D15" s="752">
        <f>+D18+D21+D24+D27+D30+D33</f>
        <v>1412325</v>
      </c>
      <c r="E15" s="618">
        <f>SUM(B15:D15)</f>
        <v>4689127.1763422806</v>
      </c>
      <c r="F15" s="767">
        <f>SUM(Spss_Univer_2017!G33:I38,Spss_Univer_2017!G40:I45)</f>
        <v>4689124.5905296374</v>
      </c>
      <c r="K15" s="632" t="s">
        <v>66</v>
      </c>
      <c r="L15" s="636">
        <f>+L18+L21+L24+L27+L30+L33</f>
        <v>297529</v>
      </c>
      <c r="M15" s="636">
        <f>+M18+M21+M24+M27+M30+M33</f>
        <v>632229</v>
      </c>
      <c r="N15" s="812">
        <f>+N18+N21+N24+N27+N30+N33</f>
        <v>702306</v>
      </c>
      <c r="O15" s="640">
        <f>SUM(L15:N15)</f>
        <v>1632064</v>
      </c>
      <c r="P15" s="637">
        <f>+P18+P21+P24+P27+P30+P33</f>
        <v>855750</v>
      </c>
      <c r="Q15" s="834">
        <f>+Q18+Q21+Q24+Q27+Q30+Q33</f>
        <v>776314</v>
      </c>
      <c r="R15" s="761">
        <f>SUM(L15:N15)</f>
        <v>1632064</v>
      </c>
      <c r="S15" s="761">
        <f>SUM(P15:Q15)</f>
        <v>1632064</v>
      </c>
      <c r="T15" s="761">
        <f>SUM(L14:N15)</f>
        <v>3391620</v>
      </c>
      <c r="U15" s="312"/>
      <c r="V15" s="312"/>
    </row>
    <row r="16" spans="1:22" ht="15" thickBot="1" x14ac:dyDescent="0.35">
      <c r="A16" s="364"/>
      <c r="B16" s="391">
        <f>+B14+B15</f>
        <v>2351166</v>
      </c>
      <c r="C16" s="391">
        <f>+C14+C15</f>
        <v>4404459.1763422806</v>
      </c>
      <c r="D16" s="391">
        <f>+D14+D15</f>
        <v>2893152</v>
      </c>
      <c r="E16" s="393">
        <f>SUM(B16:D16)</f>
        <v>9648777.1763422806</v>
      </c>
      <c r="F16" s="44">
        <f>SUM(Spss_Univer_2017!G33:L38,Spss_Univer_2017!G40:L45)</f>
        <v>9648777.375786528</v>
      </c>
      <c r="G16" s="44"/>
      <c r="K16" s="638"/>
      <c r="L16" s="642">
        <f>L10-L13</f>
        <v>0</v>
      </c>
      <c r="M16" s="642">
        <f>M10-M13</f>
        <v>0</v>
      </c>
      <c r="N16" s="813">
        <f t="shared" ref="N16" si="8">N10-N13</f>
        <v>0</v>
      </c>
      <c r="O16" s="642">
        <f>O10-O13</f>
        <v>0</v>
      </c>
      <c r="P16" s="642">
        <f>P10-P13</f>
        <v>0</v>
      </c>
      <c r="Q16" s="835">
        <f>Q10-Q13</f>
        <v>0</v>
      </c>
      <c r="R16" s="761"/>
      <c r="S16" s="761"/>
      <c r="U16" s="312"/>
    </row>
    <row r="17" spans="1:29" x14ac:dyDescent="0.3">
      <c r="A17" s="613" t="s">
        <v>67</v>
      </c>
      <c r="B17" s="614">
        <f>+B18+B19</f>
        <v>263850</v>
      </c>
      <c r="C17" s="614">
        <f t="shared" ref="C17:D17" si="9">+C18+C19</f>
        <v>616873</v>
      </c>
      <c r="D17" s="614">
        <f t="shared" si="9"/>
        <v>501614</v>
      </c>
      <c r="E17" s="614">
        <f t="shared" ref="E17:E25" si="10">SUM(B17:D17)</f>
        <v>1382337</v>
      </c>
      <c r="F17" s="189"/>
      <c r="G17" s="44"/>
      <c r="K17" s="653" t="s">
        <v>67</v>
      </c>
      <c r="L17" s="654">
        <f>+L18+L19</f>
        <v>76669</v>
      </c>
      <c r="M17" s="654">
        <f t="shared" ref="M17:N17" si="11">+M18+M19</f>
        <v>182198</v>
      </c>
      <c r="N17" s="814">
        <f t="shared" si="11"/>
        <v>235694</v>
      </c>
      <c r="O17" s="836">
        <f>+O18+O19</f>
        <v>494561</v>
      </c>
      <c r="P17" s="836">
        <f>+P18+P19</f>
        <v>266083</v>
      </c>
      <c r="Q17" s="836">
        <f>+Q18+Q19</f>
        <v>228478</v>
      </c>
      <c r="R17" s="761">
        <f>SUM(P18:Q19)</f>
        <v>494561</v>
      </c>
      <c r="S17" s="761">
        <f>SUM(L18:N19)</f>
        <v>494561</v>
      </c>
      <c r="T17" s="928">
        <f>+R17-S17</f>
        <v>0</v>
      </c>
      <c r="U17" s="312">
        <f>+Spss_Univer_2017!W23+Spss_Univer_2017!W30+Spss_Univer_2017!AC23+Spss_Univer_2017!AC30</f>
        <v>36718.20430399997</v>
      </c>
      <c r="V17" s="312">
        <f>+Spss_Univer_2017!X23+Spss_Univer_2017!X30+Spss_Univer_2017!AD23+Spss_Univer_2017!AD30</f>
        <v>96027.377164669699</v>
      </c>
      <c r="W17" s="312">
        <f>+Spss_Univer_2017!Y23+Spss_Univer_2017!Y30+Spss_Univer_2017!AE23+Spss_Univer_2017!AE30</f>
        <v>124941.90137462039</v>
      </c>
      <c r="Y17" s="312">
        <f>+Spss_Univer_2017!W23+Spss_Univer_2017!W30+Spss_Univer_2017!X23+Spss_Univer_2017!X30+Spss_Univer_2017!Y23+Spss_Univer_2017!Y30</f>
        <v>137708.72861421158</v>
      </c>
      <c r="Z17" s="312">
        <f>+Spss_Univer_2017!Z23+Spss_Univer_2017!AA23+Spss_Univer_2017!AB23+Spss_Univer_2017!Z30+Spss_Univer_2017!AA30+Spss_Univer_2017!AB30</f>
        <v>128373.50566474732</v>
      </c>
      <c r="AB17">
        <f>+Spss_Univer_2017!AC23+Spss_Univer_2017!AD23+Spss_Univer_2017!AE23+Spss_Univer_2017!AC30+Spss_Univer_2017!AD30+Spss_Univer_2017!AE30</f>
        <v>119978.75422907846</v>
      </c>
      <c r="AC17">
        <f>+Spss_Univer_2017!AF23+Spss_Univer_2017!AG23+Spss_Univer_2017!AH23+Spss_Univer_2017!AH30+Spss_Univer_2017!AG30+Spss_Univer_2017!AF30</f>
        <v>108499.19051299179</v>
      </c>
    </row>
    <row r="18" spans="1:29" x14ac:dyDescent="0.3">
      <c r="A18" s="615" t="s">
        <v>68</v>
      </c>
      <c r="B18" s="616">
        <f>+ROUND(Spss_Univer_2017!G33+Spss_Univer_2017!G40,0)</f>
        <v>140308</v>
      </c>
      <c r="C18" s="616">
        <f>+ROUND(Spss_Univer_2017!H33+Spss_Univer_2017!H40,0)</f>
        <v>312877</v>
      </c>
      <c r="D18" s="616">
        <f>+ROUND(Spss_Univer_2017!I33+Spss_Univer_2017!I40,0)</f>
        <v>250629</v>
      </c>
      <c r="E18" s="617">
        <f t="shared" si="10"/>
        <v>703814</v>
      </c>
      <c r="F18" s="924">
        <f>+Spss_Univer_2017!G40+Spss_Univer_2017!G33</f>
        <v>140307.91495696321</v>
      </c>
      <c r="G18" s="924">
        <f>+Spss_Univer_2017!H40+Spss_Univer_2017!H33</f>
        <v>312876.70925591991</v>
      </c>
      <c r="H18" s="924">
        <f>+Spss_Univer_2017!I40+Spss_Univer_2017!I33</f>
        <v>250628.60813765298</v>
      </c>
      <c r="K18" s="630" t="s">
        <v>68</v>
      </c>
      <c r="L18" s="633">
        <f>+ROUNDUP(SUM(Spss_Univer_2017!W23+Spss_Univer_2017!W30+Spss_Univer_2017!AC23+Spss_Univer_2017!AC30),0)</f>
        <v>36719</v>
      </c>
      <c r="M18" s="633">
        <f>+ROUND(SUM(Spss_Univer_2017!X23+Spss_Univer_2017!X30+Spss_Univer_2017!AD23+Spss_Univer_2017!AD30),0)</f>
        <v>96027</v>
      </c>
      <c r="N18" s="815">
        <f>+ROUND(SUM(Spss_Univer_2017!Y23+Spss_Univer_2017!Y30+Spss_Univer_2017!AE23+Spss_Univer_2017!AE30),0)</f>
        <v>124942</v>
      </c>
      <c r="O18" s="633">
        <f>SUM(L18:N18)</f>
        <v>257688</v>
      </c>
      <c r="P18" s="655">
        <f>+ROUND(SUM(Spss_Univer_2017!W23:Y23,Spss_Univer_2017!W30:Y30),0)</f>
        <v>137709</v>
      </c>
      <c r="Q18" s="650">
        <f>+ROUND(SUM(Spss_Univer_2017!AC23:AE23,Spss_Univer_2017!AC30:AE30),0)</f>
        <v>119979</v>
      </c>
      <c r="R18" s="761">
        <f>SUM(L18:N18)</f>
        <v>257688</v>
      </c>
      <c r="S18" s="761">
        <f>SUM(P18:Q18)</f>
        <v>257688</v>
      </c>
      <c r="T18" s="44">
        <f t="shared" ref="T18:T34" si="12">+R18-S18</f>
        <v>0</v>
      </c>
      <c r="U18" s="312">
        <f>+Spss_Univer_2017!W24+Spss_Univer_2017!W31+Spss_Univer_2017!AC24+Spss_Univer_2017!AC31</f>
        <v>36710.745324773969</v>
      </c>
      <c r="V18" s="312">
        <f>+Spss_Univer_2017!X24+Spss_Univer_2017!X31+Spss_Univer_2017!AD24+Spss_Univer_2017!AD31</f>
        <v>77765.342134373801</v>
      </c>
      <c r="W18" s="312">
        <f>+Spss_Univer_2017!Y24+Spss_Univer_2017!Y31+Spss_Univer_2017!AE24+Spss_Univer_2017!AE31</f>
        <v>99774.944372807106</v>
      </c>
      <c r="Y18" s="312">
        <f>+Spss_Univer_2017!W24+Spss_Univer_2017!W31+Spss_Univer_2017!X24+Spss_Univer_2017!X31+Spss_Univer_2017!Y24+Spss_Univer_2017!Y31</f>
        <v>110473.09887811882</v>
      </c>
      <c r="Z18" s="312">
        <f>+Spss_Univer_2017!Z24+Spss_Univer_2017!AA24+Spss_Univer_2017!AB24+Spss_Univer_2017!Z31+Spss_Univer_2017!AA31+Spss_Univer_2017!AB31</f>
        <v>113929.62946082911</v>
      </c>
      <c r="AB18">
        <f>+Spss_Univer_2017!AC24+Spss_Univer_2017!AD24+Spss_Univer_2017!AE24+Spss_Univer_2017!AC31+Spss_Univer_2017!AD31+Spss_Univer_2017!AE31</f>
        <v>103777.93295383605</v>
      </c>
      <c r="AC18">
        <f>+Spss_Univer_2017!AF24+Spss_Univer_2017!AG24+Spss_Univer_2017!AH24+Spss_Univer_2017!AH31+Spss_Univer_2017!AG31+Spss_Univer_2017!AF31</f>
        <v>98469.815176262884</v>
      </c>
    </row>
    <row r="19" spans="1:29" ht="15" thickBot="1" x14ac:dyDescent="0.35">
      <c r="A19" s="602" t="s">
        <v>69</v>
      </c>
      <c r="B19" s="603">
        <f>+ROUND(Spss_Univer_2017!J33+Spss_Univer_2017!J40,0)</f>
        <v>123542</v>
      </c>
      <c r="C19" s="603">
        <f>+ROUND(Spss_Univer_2017!K33+Spss_Univer_2017!K40,0)</f>
        <v>303996</v>
      </c>
      <c r="D19" s="603">
        <f>+ROUND(Spss_Univer_2017!L33+Spss_Univer_2017!L40,0)</f>
        <v>250985</v>
      </c>
      <c r="E19" s="617">
        <f t="shared" si="10"/>
        <v>678523</v>
      </c>
      <c r="F19" s="924">
        <f>+Spss_Univer_2017!G41+Spss_Univer_2017!G34</f>
        <v>139207.35887116165</v>
      </c>
      <c r="G19" s="924">
        <f>+Spss_Univer_2017!H41+Spss_Univer_2017!H34</f>
        <v>247800.25894592673</v>
      </c>
      <c r="H19" s="924">
        <f>+Spss_Univer_2017!I41+Spss_Univer_2017!I34</f>
        <v>161580.52053957686</v>
      </c>
      <c r="K19" s="632" t="s">
        <v>69</v>
      </c>
      <c r="L19" s="634">
        <f>+ROUND(SUM(Spss_Univer_2017!Z23,Spss_Univer_2017!Z30,Spss_Univer_2017!AF23,Spss_Univer_2017!AF30),0)</f>
        <v>39950</v>
      </c>
      <c r="M19" s="634">
        <f>+ROUND(SUM(Spss_Univer_2017!AA23,Spss_Univer_2017!AA30,Spss_Univer_2017!AG23,Spss_Univer_2017!AG30),0)</f>
        <v>86171</v>
      </c>
      <c r="N19" s="816">
        <f>+ROUND(SUM(Spss_Univer_2017!AB23,Spss_Univer_2017!AB30,Spss_Univer_2017!AH23,Spss_Univer_2017!AH30),0)</f>
        <v>110752</v>
      </c>
      <c r="O19" s="633">
        <f>SUM(L19:N19)</f>
        <v>236873</v>
      </c>
      <c r="P19" s="656">
        <f>+ROUND(SUM(Spss_Univer_2017!Z23:AB23,Spss_Univer_2017!Z30:AB30),0)</f>
        <v>128374</v>
      </c>
      <c r="Q19" s="652">
        <f>+ROUNDDOWN(SUM(Spss_Univer_2017!AF23:AH23,Spss_Univer_2017!AF30:AH30),0)</f>
        <v>108499</v>
      </c>
      <c r="R19" s="761">
        <f>SUM(L19:N19)</f>
        <v>236873</v>
      </c>
      <c r="S19" s="761">
        <f>SUM(P19:Q19)</f>
        <v>236873</v>
      </c>
      <c r="T19" s="928">
        <f t="shared" si="12"/>
        <v>0</v>
      </c>
      <c r="U19" s="312">
        <f>+Spss_Univer_2017!W25+Spss_Univer_2017!W32+Spss_Univer_2017!AC25+Spss_Univer_2017!AC32</f>
        <v>49453.978535184469</v>
      </c>
      <c r="V19" s="312">
        <f>+Spss_Univer_2017!X25+Spss_Univer_2017!X32+Spss_Univer_2017!AD25+Spss_Univer_2017!AD32</f>
        <v>105483.65691614401</v>
      </c>
      <c r="W19" s="312">
        <f>+Spss_Univer_2017!Y25+Spss_Univer_2017!Y32+Spss_Univer_2017!AE25+Spss_Univer_2017!AE32</f>
        <v>126814.21955476186</v>
      </c>
      <c r="Y19" s="312">
        <f>+Spss_Univer_2017!W25+Spss_Univer_2017!W32+Spss_Univer_2017!X25+Spss_Univer_2017!X32+Spss_Univer_2017!Y25+Spss_Univer_2017!Y32</f>
        <v>145237.76681958765</v>
      </c>
      <c r="Z19" s="312">
        <f>+Spss_Univer_2017!Z25+Spss_Univer_2017!AA25+Spss_Univer_2017!AB25+Spss_Univer_2017!Z32+Spss_Univer_2017!AA32+Spss_Univer_2017!AB32</f>
        <v>163275.84137689802</v>
      </c>
      <c r="AB19">
        <f>+Spss_Univer_2017!AC25+Spss_Univer_2017!AD25+Spss_Univer_2017!AE25+Spss_Univer_2017!AC32+Spss_Univer_2017!AD32+Spss_Univer_2017!AE32</f>
        <v>136514.08818650272</v>
      </c>
      <c r="AC19">
        <f>+Spss_Univer_2017!AF25+Spss_Univer_2017!AG25+Spss_Univer_2017!AH25+Spss_Univer_2017!AH32+Spss_Univer_2017!AG32+Spss_Univer_2017!AF32</f>
        <v>131570.25003028318</v>
      </c>
    </row>
    <row r="20" spans="1:29" x14ac:dyDescent="0.3">
      <c r="A20" s="613" t="s">
        <v>70</v>
      </c>
      <c r="B20" s="614">
        <f>+B21+B22</f>
        <v>243752</v>
      </c>
      <c r="C20" s="614">
        <f t="shared" ref="C20:D20" si="13">+C21+C22</f>
        <v>514705</v>
      </c>
      <c r="D20" s="614">
        <f t="shared" si="13"/>
        <v>343365</v>
      </c>
      <c r="E20" s="614">
        <f t="shared" si="10"/>
        <v>1101822</v>
      </c>
      <c r="F20" s="924">
        <f>+Spss_Univer_2017!G42+Spss_Univer_2017!G35</f>
        <v>155759.26681324915</v>
      </c>
      <c r="G20" s="924">
        <f>+Spss_Univer_2017!H42+Spss_Univer_2017!H35</f>
        <v>369648.28888660832</v>
      </c>
      <c r="H20" s="924">
        <f>+Spss_Univer_2017!I42+Spss_Univer_2017!I35</f>
        <v>243356.50941462611</v>
      </c>
      <c r="K20" s="653" t="s">
        <v>70</v>
      </c>
      <c r="L20" s="654">
        <f>SUM(L21:L22)</f>
        <v>71275</v>
      </c>
      <c r="M20" s="654">
        <f t="shared" ref="M20:N20" si="14">SUM(M21:M22)</f>
        <v>163975</v>
      </c>
      <c r="N20" s="814">
        <f t="shared" si="14"/>
        <v>191400</v>
      </c>
      <c r="O20" s="836">
        <f>SUM(O21:O22)</f>
        <v>426650</v>
      </c>
      <c r="P20" s="836">
        <f>SUM(P21:P22)</f>
        <v>224403</v>
      </c>
      <c r="Q20" s="836">
        <f t="shared" ref="Q20" si="15">SUM(Q21:Q22)</f>
        <v>202247</v>
      </c>
      <c r="R20" s="761"/>
      <c r="S20" s="761"/>
      <c r="T20" s="44">
        <f t="shared" si="12"/>
        <v>0</v>
      </c>
      <c r="U20" s="312">
        <f>+Spss_Univer_2017!W26+Spss_Univer_2017!W33+Spss_Univer_2017!AC26+Spss_Univer_2017!AC33</f>
        <v>51272.620838027549</v>
      </c>
      <c r="V20" s="312">
        <f>+Spss_Univer_2017!X26+Spss_Univer_2017!X33+Spss_Univer_2017!AD26+Spss_Univer_2017!AD33</f>
        <v>114879.66762026655</v>
      </c>
      <c r="W20" s="312">
        <f>+Spss_Univer_2017!Y26+Spss_Univer_2017!Y33+Spss_Univer_2017!AE26+Spss_Univer_2017!AE33</f>
        <v>132334.32624452692</v>
      </c>
      <c r="Y20" s="312">
        <f>+Spss_Univer_2017!W26+Spss_Univer_2017!W33+Spss_Univer_2017!X26+Spss_Univer_2017!X33+Spss_Univer_2017!Y26+Spss_Univer_2017!Y33</f>
        <v>155039.97084222062</v>
      </c>
      <c r="Z20" s="312">
        <f>+Spss_Univer_2017!Z26+Spss_Univer_2017!AA26+Spss_Univer_2017!AB26+Spss_Univer_2017!Z33+Spss_Univer_2017!AA33+Spss_Univer_2017!AB33</f>
        <v>189051.12736118198</v>
      </c>
      <c r="AB20">
        <f>+Spss_Univer_2017!AC26+Spss_Univer_2017!AD26+Spss_Univer_2017!AE26+Spss_Univer_2017!AC33+Spss_Univer_2017!AD33+Spss_Univer_2017!AE33</f>
        <v>143446.64386060039</v>
      </c>
      <c r="AC20">
        <f>+Spss_Univer_2017!AF26+Spss_Univer_2017!AG26+Spss_Univer_2017!AH26+Spss_Univer_2017!AH33+Spss_Univer_2017!AG33+Spss_Univer_2017!AF33</f>
        <v>175116.90554844664</v>
      </c>
    </row>
    <row r="21" spans="1:29" x14ac:dyDescent="0.3">
      <c r="A21" s="615" t="s">
        <v>74</v>
      </c>
      <c r="B21" s="616">
        <f>+ROUND(Spss_Univer_2017!G34+Spss_Univer_2017!G41,0)</f>
        <v>139207</v>
      </c>
      <c r="C21" s="616">
        <f>+ROUND(Spss_Univer_2017!H34+Spss_Univer_2017!H41,0)</f>
        <v>247800</v>
      </c>
      <c r="D21" s="616">
        <f>+ROUND(Spss_Univer_2017!I34+Spss_Univer_2017!I41,0)</f>
        <v>161581</v>
      </c>
      <c r="E21" s="617">
        <f t="shared" si="10"/>
        <v>548588</v>
      </c>
      <c r="F21" s="924">
        <f>+Spss_Univer_2017!G43+Spss_Univer_2017!G36</f>
        <v>220072.93900145587</v>
      </c>
      <c r="G21" s="924">
        <f>+Spss_Univer_2017!H43+Spss_Univer_2017!H36</f>
        <v>404892.26622610725</v>
      </c>
      <c r="H21" s="924">
        <f>+Spss_Univer_2017!I43+Spss_Univer_2017!I36</f>
        <v>310930.06559628237</v>
      </c>
      <c r="K21" s="630" t="s">
        <v>74</v>
      </c>
      <c r="L21" s="633">
        <f>+ROUND(SUM(Spss_Univer_2017!W24+Spss_Univer_2017!W31+Spss_Univer_2017!AC24+Spss_Univer_2017!AC31),0)</f>
        <v>36711</v>
      </c>
      <c r="M21" s="633">
        <f>+ROUND(SUM(Spss_Univer_2017!X24+Spss_Univer_2017!X31+Spss_Univer_2017!AD24+Spss_Univer_2017!AD31),0)</f>
        <v>77765</v>
      </c>
      <c r="N21" s="815">
        <f>+ROUND(SUM(Spss_Univer_2017!Y24+Spss_Univer_2017!Y31+Spss_Univer_2017!AE24+Spss_Univer_2017!AE31),0)</f>
        <v>99775</v>
      </c>
      <c r="O21" s="837">
        <f>SUM(L21:N21)</f>
        <v>214251</v>
      </c>
      <c r="P21" s="655">
        <f>+ROUND(SUM(Spss_Univer_2017!W24:Y24,Spss_Univer_2017!W31:Y31),0)</f>
        <v>110473</v>
      </c>
      <c r="Q21" s="650">
        <f>+ROUND(SUM(Spss_Univer_2017!AC24:AE24,Spss_Univer_2017!AC31:AE31),0)</f>
        <v>103778</v>
      </c>
      <c r="R21" s="761">
        <f>SUM(L21:N21)</f>
        <v>214251</v>
      </c>
      <c r="S21" s="761">
        <f>SUM(P21:Q21)</f>
        <v>214251</v>
      </c>
      <c r="T21" s="44">
        <f t="shared" si="12"/>
        <v>0</v>
      </c>
      <c r="U21" s="312">
        <f>+Spss_Univer_2017!W27+Spss_Univer_2017!W34+Spss_Univer_2017!AC27+Spss_Univer_2017!AC34</f>
        <v>44631.02512153014</v>
      </c>
      <c r="V21" s="312">
        <f>+Spss_Univer_2017!X27+Spss_Univer_2017!X34+Spss_Univer_2017!AD27+Spss_Univer_2017!AD34</f>
        <v>102161.44544866378</v>
      </c>
      <c r="W21" s="312">
        <f>+Spss_Univer_2017!Y27+Spss_Univer_2017!Y34+Spss_Univer_2017!AE27+Spss_Univer_2017!AE34</f>
        <v>101546.34253034499</v>
      </c>
      <c r="Y21" s="312">
        <f>+Spss_Univer_2017!W27+Spss_Univer_2017!W34+Spss_Univer_2017!X27+Spss_Univer_2017!X34+Spss_Univer_2017!Y27+Spss_Univer_2017!Y34</f>
        <v>128767.51251298271</v>
      </c>
      <c r="Z21" s="312">
        <f>+Spss_Univer_2017!Z27+Spss_Univer_2017!AA27+Spss_Univer_2017!AB27+Spss_Univer_2017!Z34+Spss_Univer_2017!AA34+Spss_Univer_2017!AB34</f>
        <v>150193.35955676585</v>
      </c>
      <c r="AB21">
        <f>+Spss_Univer_2017!AC27+Spss_Univer_2017!AD27+Spss_Univer_2017!AE27+Spss_Univer_2017!AC34+Spss_Univer_2017!AD34+Spss_Univer_2017!AE34</f>
        <v>119571.30058755621</v>
      </c>
      <c r="AC21">
        <f>+Spss_Univer_2017!AF27+Spss_Univer_2017!AG27+Spss_Univer_2017!AH27+Spss_Univer_2017!AH34+Spss_Univer_2017!AG34+Spss_Univer_2017!AF34</f>
        <v>144971.22306919895</v>
      </c>
    </row>
    <row r="22" spans="1:29" ht="15" thickBot="1" x14ac:dyDescent="0.35">
      <c r="A22" s="602" t="s">
        <v>75</v>
      </c>
      <c r="B22" s="603">
        <f>+ROUND(Spss_Univer_2017!J34+Spss_Univer_2017!J41,0)</f>
        <v>104545</v>
      </c>
      <c r="C22" s="603">
        <f>+ROUNDDOWN(Spss_Univer_2017!K34+Spss_Univer_2017!K41,0)</f>
        <v>266905</v>
      </c>
      <c r="D22" s="603">
        <f>+ROUND(Spss_Univer_2017!L34+Spss_Univer_2017!L41,0)</f>
        <v>181784</v>
      </c>
      <c r="E22" s="617">
        <f t="shared" si="10"/>
        <v>553234</v>
      </c>
      <c r="F22" s="924">
        <f>+Spss_Univer_2017!G44+Spss_Univer_2017!G37</f>
        <v>210438.54795667267</v>
      </c>
      <c r="G22" s="924">
        <f>+Spss_Univer_2017!H44+Spss_Univer_2017!H37</f>
        <v>345813.17634228058</v>
      </c>
      <c r="H22" s="924">
        <f>+Spss_Univer_2017!I44+Spss_Univer_2017!I37</f>
        <v>206011.11679859838</v>
      </c>
      <c r="K22" s="632" t="s">
        <v>75</v>
      </c>
      <c r="L22" s="634">
        <f>+ROUND(SUM(Spss_Univer_2017!Z24,Spss_Univer_2017!Z31,Spss_Univer_2017!AF24,Spss_Univer_2017!AF31),0)</f>
        <v>34564</v>
      </c>
      <c r="M22" s="634">
        <f>+ROUND(SUM(Spss_Univer_2017!AA24,Spss_Univer_2017!AA31,Spss_Univer_2017!AG24,Spss_Univer_2017!AG31),0)</f>
        <v>86210</v>
      </c>
      <c r="N22" s="816">
        <f>+ROUND(SUM(Spss_Univer_2017!AB24,Spss_Univer_2017!AB31,Spss_Univer_2017!AH24,Spss_Univer_2017!AH31),0)</f>
        <v>91625</v>
      </c>
      <c r="O22" s="837">
        <f>SUM(L22:N22)</f>
        <v>212399</v>
      </c>
      <c r="P22" s="656">
        <f>+ROUND(SUM(Spss_Univer_2017!Z24:AB24,Spss_Univer_2017!Z31:AB31),0)</f>
        <v>113930</v>
      </c>
      <c r="Q22" s="652">
        <f>+ROUNDDOWN(SUM(Spss_Univer_2017!AF24:AH24,Spss_Univer_2017!AF31:AH31),0)</f>
        <v>98469</v>
      </c>
      <c r="R22" s="761">
        <f>SUM(L22:N22)</f>
        <v>212399</v>
      </c>
      <c r="S22" s="761">
        <f>SUM(P22:Q22)</f>
        <v>212399</v>
      </c>
      <c r="T22" s="928">
        <f t="shared" si="12"/>
        <v>0</v>
      </c>
      <c r="U22" s="312">
        <f>+Spss_Univer_2017!W28+Spss_Univer_2017!W35+Spss_Univer_2017!AC28+Spss_Univer_2017!AC35</f>
        <v>78741.465579412878</v>
      </c>
      <c r="V22" s="312">
        <f>+Spss_Univer_2017!X28+Spss_Univer_2017!X35+Spss_Univer_2017!AD28+Spss_Univer_2017!AD35</f>
        <v>135912.33676800461</v>
      </c>
      <c r="W22" s="312">
        <f>+Spss_Univer_2017!Y28+Spss_Univer_2017!Y35+Spss_Univer_2017!AE28+Spss_Univer_2017!AE35</f>
        <v>116894.67666831653</v>
      </c>
      <c r="Y22" s="312">
        <f>+Spss_Univer_2017!W28+Spss_Univer_2017!W35+Spss_Univer_2017!X28+Spss_Univer_2017!X35+Spss_Univer_2017!Y28+Spss_Univer_2017!Y35</f>
        <v>178523.27120971898</v>
      </c>
      <c r="Z22" s="312">
        <f>+Spss_Univer_2017!Z28+Spss_Univer_2017!AA28+Spss_Univer_2017!AB28+Spss_Univer_2017!Z35+Spss_Univer_2017!AA35+Spss_Univer_2017!AB35</f>
        <v>180516.39079345856</v>
      </c>
      <c r="AB22">
        <f>+Spss_Univer_2017!AC28+Spss_Univer_2017!AD28+Spss_Univer_2017!AE28+Spss_Univer_2017!AC35+Spss_Univer_2017!AD35+Spss_Univer_2017!AE35</f>
        <v>153025.20780601504</v>
      </c>
      <c r="AC22">
        <f>+Spss_Univer_2017!AF28+Spss_Univer_2017!AG28+Spss_Univer_2017!AH28+Spss_Univer_2017!AH35+Spss_Univer_2017!AG35+Spss_Univer_2017!AF35</f>
        <v>175590.09039670462</v>
      </c>
    </row>
    <row r="23" spans="1:29" x14ac:dyDescent="0.3">
      <c r="A23" s="613" t="s">
        <v>71</v>
      </c>
      <c r="B23" s="614">
        <f>SUM(B24:B25)</f>
        <v>337743</v>
      </c>
      <c r="C23" s="614">
        <f t="shared" ref="C23:D23" si="16">SUM(C24:C25)</f>
        <v>706688</v>
      </c>
      <c r="D23" s="614">
        <f t="shared" si="16"/>
        <v>492213</v>
      </c>
      <c r="E23" s="614">
        <f t="shared" si="10"/>
        <v>1536644</v>
      </c>
      <c r="F23" s="924">
        <f>+Spss_Univer_2017!G45+Spss_Univer_2017!G38</f>
        <v>295735.52282533626</v>
      </c>
      <c r="G23" s="924">
        <f>+Spss_Univer_2017!H45+Spss_Univer_2017!H38</f>
        <v>434248.85101901472</v>
      </c>
      <c r="H23" s="924">
        <f>+Spss_Univer_2017!I45+Spss_Univer_2017!I38</f>
        <v>239816.66894220398</v>
      </c>
      <c r="K23" s="503" t="s">
        <v>71</v>
      </c>
      <c r="L23" s="504">
        <f>+L24+L25</f>
        <v>94860</v>
      </c>
      <c r="M23" s="504">
        <f t="shared" ref="M23:Q23" si="17">+M24+M25</f>
        <v>222812</v>
      </c>
      <c r="N23" s="817">
        <f t="shared" si="17"/>
        <v>258926</v>
      </c>
      <c r="O23" s="838">
        <f>+O24+O25</f>
        <v>576598</v>
      </c>
      <c r="P23" s="838">
        <f t="shared" si="17"/>
        <v>308514</v>
      </c>
      <c r="Q23" s="838">
        <f t="shared" si="17"/>
        <v>268084</v>
      </c>
      <c r="R23" s="761"/>
      <c r="S23" s="761"/>
      <c r="T23" s="44">
        <f t="shared" si="12"/>
        <v>0</v>
      </c>
      <c r="U23" s="312"/>
    </row>
    <row r="24" spans="1:29" x14ac:dyDescent="0.3">
      <c r="A24" s="615" t="s">
        <v>76</v>
      </c>
      <c r="B24" s="616">
        <f>+ROUND(Spss_Univer_2017!G35+Spss_Univer_2017!G42,0)</f>
        <v>155759</v>
      </c>
      <c r="C24" s="616">
        <f>+ROUND(Spss_Univer_2017!H35+Spss_Univer_2017!H42,0)</f>
        <v>369648</v>
      </c>
      <c r="D24" s="616">
        <f>+ROUND(Spss_Univer_2017!I35+Spss_Univer_2017!I42,0)</f>
        <v>243357</v>
      </c>
      <c r="E24" s="617">
        <f t="shared" si="10"/>
        <v>768764</v>
      </c>
      <c r="F24" s="324">
        <f>SUM(F18:F23)</f>
        <v>1161521.5504248389</v>
      </c>
      <c r="G24" s="324">
        <f t="shared" ref="G24:H24" si="18">SUM(G18:G23)</f>
        <v>2115279.5506758573</v>
      </c>
      <c r="H24" s="324">
        <f t="shared" si="18"/>
        <v>1412323.4894289407</v>
      </c>
      <c r="I24" s="843">
        <f>SUM(F24:H24)</f>
        <v>4689124.5905296374</v>
      </c>
      <c r="K24" s="630" t="s">
        <v>76</v>
      </c>
      <c r="L24" s="633">
        <f>+ROUND(SUM(Spss_Univer_2017!W25+Spss_Univer_2017!W32+Spss_Univer_2017!AC25+Spss_Univer_2017!AC32),0)</f>
        <v>49454</v>
      </c>
      <c r="M24" s="633">
        <f>+ROUND(SUM(Spss_Univer_2017!X25+Spss_Univer_2017!X32+Spss_Univer_2017!AD25+Spss_Univer_2017!AD32),0)</f>
        <v>105484</v>
      </c>
      <c r="N24" s="815">
        <f>+ROUND(SUM(Spss_Univer_2017!Y25+Spss_Univer_2017!Y32+Spss_Univer_2017!AE25+Spss_Univer_2017!AE32),0)</f>
        <v>126814</v>
      </c>
      <c r="O24" s="837">
        <f>SUM(L24:N24)</f>
        <v>281752</v>
      </c>
      <c r="P24" s="655">
        <f>+ROUND(SUM(Spss_Univer_2017!W25:Y25,Spss_Univer_2017!W32:Y32),0)</f>
        <v>145238</v>
      </c>
      <c r="Q24" s="650">
        <f>+ROUNDDOWN(SUM(Spss_Univer_2017!AC25:AE25,Spss_Univer_2017!AC32:AE32),0)</f>
        <v>136514</v>
      </c>
      <c r="R24" s="761">
        <f>SUM(L24:N24)</f>
        <v>281752</v>
      </c>
      <c r="S24" s="761">
        <f>SUM(P24:Q24)</f>
        <v>281752</v>
      </c>
      <c r="T24" s="44">
        <f t="shared" si="12"/>
        <v>0</v>
      </c>
      <c r="U24" s="312">
        <f>+Spss_Univer_2017!Z23+Spss_Univer_2017!Z30+Spss_Univer_2017!AF23+Spss_Univer_2017!AF30</f>
        <v>39950.274078621856</v>
      </c>
      <c r="V24" s="312">
        <f>+Spss_Univer_2017!AA23+Spss_Univer_2017!AA30+Spss_Univer_2017!AG23+Spss_Univer_2017!AG30</f>
        <v>86170.864713986055</v>
      </c>
      <c r="W24" s="312">
        <f>+Spss_Univer_2017!AB23+Spss_Univer_2017!AB30+Spss_Univer_2017!AH23+Spss_Univer_2017!AH30</f>
        <v>110751.55738513122</v>
      </c>
    </row>
    <row r="25" spans="1:29" ht="15" thickBot="1" x14ac:dyDescent="0.35">
      <c r="A25" s="602" t="s">
        <v>77</v>
      </c>
      <c r="B25" s="603">
        <f>+ROUND(Spss_Univer_2017!J35+Spss_Univer_2017!J42,0)</f>
        <v>181984</v>
      </c>
      <c r="C25" s="603">
        <f>+ROUND(Spss_Univer_2017!K35+Spss_Univer_2017!K42,0)</f>
        <v>337040</v>
      </c>
      <c r="D25" s="603">
        <f>+ROUNDDOWN(Spss_Univer_2017!L35+Spss_Univer_2017!L42,0)</f>
        <v>248856</v>
      </c>
      <c r="E25" s="604">
        <f t="shared" si="10"/>
        <v>767880</v>
      </c>
      <c r="F25" s="324"/>
      <c r="G25" s="324"/>
      <c r="H25" s="324"/>
      <c r="K25" s="632" t="s">
        <v>77</v>
      </c>
      <c r="L25" s="634">
        <f>+ROUND(SUM(Spss_Univer_2017!Z25,Spss_Univer_2017!Z32,Spss_Univer_2017!AF25,Spss_Univer_2017!AF32),0)</f>
        <v>45406</v>
      </c>
      <c r="M25" s="634">
        <f>+ROUND(SUM(Spss_Univer_2017!AA25,Spss_Univer_2017!AA32,Spss_Univer_2017!AG25,Spss_Univer_2017!AG32),0)</f>
        <v>117328</v>
      </c>
      <c r="N25" s="816">
        <f>+ROUND(SUM(Spss_Univer_2017!AB25,Spss_Univer_2017!AB32,Spss_Univer_2017!AH25,Spss_Univer_2017!AH32),0)</f>
        <v>132112</v>
      </c>
      <c r="O25" s="837">
        <f>SUM(L25:N25)</f>
        <v>294846</v>
      </c>
      <c r="P25" s="656">
        <f>+ROUNDUP(SUM(Spss_Univer_2017!Z25:AB25,Spss_Univer_2017!Z32:AB32),0)</f>
        <v>163276</v>
      </c>
      <c r="Q25" s="652">
        <f>+ROUNDDOWN(SUM(Spss_Univer_2017!AF25:AH25,Spss_Univer_2017!AF32:AH32),0)</f>
        <v>131570</v>
      </c>
      <c r="R25" s="761">
        <f>SUM(L25:N25)</f>
        <v>294846</v>
      </c>
      <c r="S25" s="761">
        <f>SUM(P25:Q25)</f>
        <v>294846</v>
      </c>
      <c r="T25" s="44">
        <f t="shared" si="12"/>
        <v>0</v>
      </c>
      <c r="U25" s="312">
        <f>+Spss_Univer_2017!Z24+Spss_Univer_2017!Z31+Spss_Univer_2017!AF24+Spss_Univer_2017!AF31</f>
        <v>34564.287423776907</v>
      </c>
      <c r="V25" s="312">
        <f>+Spss_Univer_2017!AA24+Spss_Univer_2017!AA31+Spss_Univer_2017!AG24+Spss_Univer_2017!AG31</f>
        <v>86210.130189291463</v>
      </c>
      <c r="W25" s="312">
        <f>+Spss_Univer_2017!AB24+Spss_Univer_2017!AB31+Spss_Univer_2017!AH24+Spss_Univer_2017!AH31</f>
        <v>91625.027024023613</v>
      </c>
    </row>
    <row r="26" spans="1:29" x14ac:dyDescent="0.3">
      <c r="A26" s="605" t="s">
        <v>87</v>
      </c>
      <c r="B26" s="619">
        <f>+B27+B28</f>
        <v>437598</v>
      </c>
      <c r="C26" s="619">
        <f t="shared" ref="C26:D26" si="19">+C27+C28</f>
        <v>855518</v>
      </c>
      <c r="D26" s="619">
        <f t="shared" si="19"/>
        <v>629931</v>
      </c>
      <c r="E26" s="619">
        <f>+E27+E28</f>
        <v>1923047</v>
      </c>
      <c r="F26" s="189"/>
      <c r="G26" s="189"/>
      <c r="H26" s="189"/>
      <c r="K26" s="503" t="s">
        <v>87</v>
      </c>
      <c r="L26" s="508">
        <f>+L27+L28</f>
        <v>111285</v>
      </c>
      <c r="M26" s="508">
        <f t="shared" ref="M26:Q26" si="20">+M27+M28</f>
        <v>256778</v>
      </c>
      <c r="N26" s="818">
        <f t="shared" si="20"/>
        <v>294592</v>
      </c>
      <c r="O26" s="839">
        <f>+O27+O28</f>
        <v>662655</v>
      </c>
      <c r="P26" s="839">
        <f t="shared" si="20"/>
        <v>344091</v>
      </c>
      <c r="Q26" s="839">
        <f t="shared" si="20"/>
        <v>318564</v>
      </c>
      <c r="R26" s="761"/>
      <c r="S26" s="761"/>
      <c r="T26" s="44">
        <f t="shared" si="12"/>
        <v>0</v>
      </c>
      <c r="U26" s="312">
        <f>+Spss_Univer_2017!Z25+Spss_Univer_2017!Z32+Spss_Univer_2017!AF25+Spss_Univer_2017!AF32</f>
        <v>45405.529633156162</v>
      </c>
      <c r="V26" s="312">
        <f>+Spss_Univer_2017!AA25+Spss_Univer_2017!AA32+Spss_Univer_2017!AG25+Spss_Univer_2017!AG32</f>
        <v>117328.34759470398</v>
      </c>
      <c r="W26" s="312">
        <f>+Spss_Univer_2017!AB25+Spss_Univer_2017!AB32+Spss_Univer_2017!AH25+Spss_Univer_2017!AH32</f>
        <v>132112.21417932102</v>
      </c>
    </row>
    <row r="27" spans="1:29" x14ac:dyDescent="0.3">
      <c r="A27" s="615" t="s">
        <v>86</v>
      </c>
      <c r="B27" s="616">
        <f>+ROUND(Spss_Univer_2017!G36+Spss_Univer_2017!G43,0)</f>
        <v>220073</v>
      </c>
      <c r="C27" s="616">
        <f>+ROUNDUP(Spss_Univer_2017!H36+Spss_Univer_2017!H43,0)</f>
        <v>404893</v>
      </c>
      <c r="D27" s="616">
        <f>+ROUND(Spss_Univer_2017!I36+Spss_Univer_2017!I43,0)</f>
        <v>310930</v>
      </c>
      <c r="E27" s="617">
        <f>SUM(B27:D27)</f>
        <v>935896</v>
      </c>
      <c r="K27" s="630" t="s">
        <v>86</v>
      </c>
      <c r="L27" s="633">
        <f>+ROUND(SUM(Spss_Univer_2017!W26+Spss_Univer_2017!W33+Spss_Univer_2017!AC26+Spss_Univer_2017!AC33),0)</f>
        <v>51273</v>
      </c>
      <c r="M27" s="633">
        <f>+ROUND(SUM(Spss_Univer_2017!X26+Spss_Univer_2017!X33+Spss_Univer_2017!AD26+Spss_Univer_2017!AD33),0)</f>
        <v>114880</v>
      </c>
      <c r="N27" s="815">
        <f>+ROUND(SUM(Spss_Univer_2017!Y26+Spss_Univer_2017!Y33+Spss_Univer_2017!AE26+Spss_Univer_2017!AE33),0)</f>
        <v>132334</v>
      </c>
      <c r="O27" s="837">
        <f>+L27+M27+N27</f>
        <v>298487</v>
      </c>
      <c r="P27" s="655">
        <f>+ROUND(SUM(Spss_Univer_2017!W26:Y26,Spss_Univer_2017!W33:Y33),0)</f>
        <v>155040</v>
      </c>
      <c r="Q27" s="650">
        <f>+ROUNDUP(SUM(Spss_Univer_2017!AC26:AE26,Spss_Univer_2017!AC33:AE33),0)</f>
        <v>143447</v>
      </c>
      <c r="R27" s="761">
        <f>SUM(L27:N27)</f>
        <v>298487</v>
      </c>
      <c r="S27" s="761">
        <f>SUM(P27:Q27)</f>
        <v>298487</v>
      </c>
      <c r="T27" s="44">
        <f t="shared" si="12"/>
        <v>0</v>
      </c>
      <c r="U27" s="312">
        <f>+Spss_Univer_2017!Z26+Spss_Univer_2017!Z33+Spss_Univer_2017!AF26+Spss_Univer_2017!AF33</f>
        <v>60012.326780906995</v>
      </c>
      <c r="V27" s="312">
        <f>+Spss_Univer_2017!AA26+Spss_Univer_2017!AA33+Spss_Univer_2017!AG26+Spss_Univer_2017!AG33</f>
        <v>141897.63265338397</v>
      </c>
      <c r="W27" s="312">
        <f>+Spss_Univer_2017!AB26+Spss_Univer_2017!AB33+Spss_Univer_2017!AH26+Spss_Univer_2017!AH33</f>
        <v>162258.07347533765</v>
      </c>
    </row>
    <row r="28" spans="1:29" ht="15" thickBot="1" x14ac:dyDescent="0.35">
      <c r="A28" s="602" t="s">
        <v>85</v>
      </c>
      <c r="B28" s="603">
        <f>+ROUND(Spss_Univer_2017!J36+Spss_Univer_2017!J43,0)</f>
        <v>217525</v>
      </c>
      <c r="C28" s="603">
        <f>+ROUND(Spss_Univer_2017!K36+Spss_Univer_2017!K43,0)</f>
        <v>450625</v>
      </c>
      <c r="D28" s="603">
        <f>+ROUNDDOWN(Spss_Univer_2017!L36+Spss_Univer_2017!L43,0)</f>
        <v>319001</v>
      </c>
      <c r="E28" s="617">
        <f>SUM(B28:D28)</f>
        <v>987151</v>
      </c>
      <c r="K28" s="632" t="s">
        <v>85</v>
      </c>
      <c r="L28" s="634">
        <f>+ROUND(SUM(Spss_Univer_2017!Z26,Spss_Univer_2017!Z33,Spss_Univer_2017!AF26,Spss_Univer_2017!AF33),0)</f>
        <v>60012</v>
      </c>
      <c r="M28" s="634">
        <f>+ROUND(SUM(Spss_Univer_2017!AA26,Spss_Univer_2017!AA33,Spss_Univer_2017!AG26,Spss_Univer_2017!AG33),0)</f>
        <v>141898</v>
      </c>
      <c r="N28" s="816">
        <f>+ROUND(SUM(Spss_Univer_2017!AB26,Spss_Univer_2017!AB33,Spss_Univer_2017!AH26,Spss_Univer_2017!AH33),0)</f>
        <v>162258</v>
      </c>
      <c r="O28" s="837">
        <f>+L28+M28+N28</f>
        <v>364168</v>
      </c>
      <c r="P28" s="656">
        <f>+ROUNDDOWN(SUM(Spss_Univer_2017!Z26:AB26,Spss_Univer_2017!Z33:AB33),0)</f>
        <v>189051</v>
      </c>
      <c r="Q28" s="652">
        <f>+ROUNDUP(SUM(Spss_Univer_2017!AF26:AH26,Spss_Univer_2017!AF33:AH33),0)</f>
        <v>175117</v>
      </c>
      <c r="R28" s="761">
        <f>SUM(L28:N28)</f>
        <v>364168</v>
      </c>
      <c r="S28" s="761">
        <f>SUM(P28:Q28)</f>
        <v>364168</v>
      </c>
      <c r="T28" s="44">
        <f t="shared" si="12"/>
        <v>0</v>
      </c>
      <c r="U28" s="312">
        <f>+Spss_Univer_2017!Z27+Spss_Univer_2017!Z34+Spss_Univer_2017!AF27+Spss_Univer_2017!AF34</f>
        <v>59119.223393414562</v>
      </c>
      <c r="V28" s="312">
        <f>+Spss_Univer_2017!AA27+Spss_Univer_2017!AA34+Spss_Univer_2017!AG27+Spss_Univer_2017!AG34</f>
        <v>123808.0725128327</v>
      </c>
      <c r="W28" s="312">
        <f>+Spss_Univer_2017!AB27+Spss_Univer_2017!AB34+Spss_Univer_2017!AH27+Spss_Univer_2017!AH34</f>
        <v>112237.28671971754</v>
      </c>
    </row>
    <row r="29" spans="1:29" x14ac:dyDescent="0.3">
      <c r="A29" s="605" t="s">
        <v>72</v>
      </c>
      <c r="B29" s="619">
        <f>+B30+B31</f>
        <v>440782</v>
      </c>
      <c r="C29" s="619">
        <f t="shared" ref="C29:D29" si="21">+C30+C31</f>
        <v>754237.17634228058</v>
      </c>
      <c r="D29" s="619">
        <f t="shared" si="21"/>
        <v>430729</v>
      </c>
      <c r="E29" s="619">
        <f>SUM(E30:E31)</f>
        <v>1625748.1763422806</v>
      </c>
      <c r="F29" s="189"/>
      <c r="K29" s="503" t="s">
        <v>72</v>
      </c>
      <c r="L29" s="504">
        <f>+L30+L31</f>
        <v>103750</v>
      </c>
      <c r="M29" s="504">
        <f t="shared" ref="M29:Q29" si="22">+M30+M31</f>
        <v>225969</v>
      </c>
      <c r="N29" s="817">
        <f t="shared" si="22"/>
        <v>213783</v>
      </c>
      <c r="O29" s="838">
        <f>+O30+O31</f>
        <v>543502</v>
      </c>
      <c r="P29" s="838">
        <f t="shared" si="22"/>
        <v>278960</v>
      </c>
      <c r="Q29" s="838">
        <f t="shared" si="22"/>
        <v>264542</v>
      </c>
      <c r="R29" s="761"/>
      <c r="S29" s="761"/>
      <c r="T29" s="44">
        <f t="shared" si="12"/>
        <v>0</v>
      </c>
      <c r="U29" s="312">
        <f>+Spss_Univer_2017!Z28+Spss_Univer_2017!Z35+Spss_Univer_2017!AF28+Spss_Univer_2017!AF35</f>
        <v>82112.426270843469</v>
      </c>
      <c r="V29" s="312">
        <f>+Spss_Univer_2017!AA28+Spss_Univer_2017!AA35+Spss_Univer_2017!AG28+Spss_Univer_2017!AG35</f>
        <v>145236.66978615485</v>
      </c>
      <c r="W29" s="312">
        <f>+Spss_Univer_2017!AB28+Spss_Univer_2017!AB35+Spss_Univer_2017!AH28+Spss_Univer_2017!AH35</f>
        <v>128757.38513316491</v>
      </c>
    </row>
    <row r="30" spans="1:29" x14ac:dyDescent="0.3">
      <c r="A30" s="615" t="s">
        <v>78</v>
      </c>
      <c r="B30" s="616">
        <f>+ROUND(Spss_Univer_2017!G37+Spss_Univer_2017!G44,0)</f>
        <v>210439</v>
      </c>
      <c r="C30" s="616">
        <f>+Spss_Univer_2017!H37+Spss_Univer_2017!H44</f>
        <v>345813.17634228058</v>
      </c>
      <c r="D30" s="616">
        <f>+ROUND(Spss_Univer_2017!I37+Spss_Univer_2017!I44,0)</f>
        <v>206011</v>
      </c>
      <c r="E30" s="617">
        <f>SUM(B30:D30)</f>
        <v>762263.17634228058</v>
      </c>
      <c r="K30" s="630" t="s">
        <v>78</v>
      </c>
      <c r="L30" s="633">
        <f>+ROUNDDOWN(SUM(Spss_Univer_2017!W27+Spss_Univer_2017!W34+Spss_Univer_2017!AC27+Spss_Univer_2017!AC34),0)</f>
        <v>44631</v>
      </c>
      <c r="M30" s="633">
        <f>+ROUND(SUM(Spss_Univer_2017!X27+Spss_Univer_2017!X34+Spss_Univer_2017!AD27+Spss_Univer_2017!AD34),0)</f>
        <v>102161</v>
      </c>
      <c r="N30" s="815">
        <f>+ROUND(SUM(Spss_Univer_2017!Y27+Spss_Univer_2017!Y34+Spss_Univer_2017!AE27+Spss_Univer_2017!AE34),0)</f>
        <v>101546</v>
      </c>
      <c r="O30" s="837">
        <f>+L30+M30+N30</f>
        <v>248338</v>
      </c>
      <c r="P30" s="655">
        <f>+ROUNDDOWN(SUM(Spss_Univer_2017!W27:Y27,Spss_Univer_2017!W34:Y34),0)</f>
        <v>128767</v>
      </c>
      <c r="Q30" s="650">
        <f>+ROUNDDOWN(SUM(Spss_Univer_2017!AC27:AE27,Spss_Univer_2017!AC34:AE34),0)</f>
        <v>119571</v>
      </c>
      <c r="R30" s="761">
        <f>SUM(L30:N30)</f>
        <v>248338</v>
      </c>
      <c r="S30" s="761">
        <f>SUM(P30:Q30)</f>
        <v>248338</v>
      </c>
      <c r="T30" s="928">
        <f t="shared" si="12"/>
        <v>0</v>
      </c>
      <c r="U30" s="312"/>
    </row>
    <row r="31" spans="1:29" ht="15" thickBot="1" x14ac:dyDescent="0.35">
      <c r="A31" s="602" t="s">
        <v>79</v>
      </c>
      <c r="B31" s="603">
        <f>+ROUND(Spss_Univer_2017!J37+Spss_Univer_2017!J44,0)</f>
        <v>230343</v>
      </c>
      <c r="C31" s="603">
        <f>+ROUND(Spss_Univer_2017!K37+Spss_Univer_2017!K44,0)</f>
        <v>408424</v>
      </c>
      <c r="D31" s="603">
        <f>+ROUND(Spss_Univer_2017!L37+Spss_Univer_2017!L44,0)</f>
        <v>224718</v>
      </c>
      <c r="E31" s="617">
        <f>SUM(B31:D31)</f>
        <v>863485</v>
      </c>
      <c r="K31" s="632" t="s">
        <v>79</v>
      </c>
      <c r="L31" s="634">
        <f>+ROUNDDOWN(SUM(Spss_Univer_2017!Z27,Spss_Univer_2017!Z34,Spss_Univer_2017!AF27,Spss_Univer_2017!AF34),0)</f>
        <v>59119</v>
      </c>
      <c r="M31" s="634">
        <f>+ROUND(SUM(Spss_Univer_2017!AA27,Spss_Univer_2017!AA34,Spss_Univer_2017!AG27,Spss_Univer_2017!AG34),0)</f>
        <v>123808</v>
      </c>
      <c r="N31" s="816">
        <f>+ROUND(SUM(Spss_Univer_2017!AB27,Spss_Univer_2017!AB34,Spss_Univer_2017!AH27,Spss_Univer_2017!AH34),0)</f>
        <v>112237</v>
      </c>
      <c r="O31" s="837">
        <f>+L31+M31+N31</f>
        <v>295164</v>
      </c>
      <c r="P31" s="656">
        <f>+ROUNDDOWN(SUM(Spss_Univer_2017!Z27:AB27,Spss_Univer_2017!Z34:AB34),0)</f>
        <v>150193</v>
      </c>
      <c r="Q31" s="652">
        <f>+ROUND(SUM(Spss_Univer_2017!AF27:AH27,Spss_Univer_2017!AF34:AH34),0)</f>
        <v>144971</v>
      </c>
      <c r="R31" s="761">
        <f>SUM(L31:N31)</f>
        <v>295164</v>
      </c>
      <c r="S31" s="761">
        <f>SUM(P31:Q31)</f>
        <v>295164</v>
      </c>
      <c r="T31" s="44">
        <f t="shared" si="12"/>
        <v>0</v>
      </c>
      <c r="U31" s="312"/>
    </row>
    <row r="32" spans="1:29" x14ac:dyDescent="0.3">
      <c r="A32" s="605" t="s">
        <v>73</v>
      </c>
      <c r="B32" s="619">
        <f>SUM(B33:B34)</f>
        <v>627441</v>
      </c>
      <c r="C32" s="619">
        <f t="shared" ref="C32:E32" si="23">SUM(C33:C34)</f>
        <v>956438</v>
      </c>
      <c r="D32" s="619">
        <f t="shared" si="23"/>
        <v>495300</v>
      </c>
      <c r="E32" s="619">
        <f t="shared" si="23"/>
        <v>2079179</v>
      </c>
      <c r="F32" s="189"/>
      <c r="K32" s="503" t="s">
        <v>73</v>
      </c>
      <c r="L32" s="504">
        <f>+L33+L34</f>
        <v>160853</v>
      </c>
      <c r="M32" s="504">
        <f t="shared" ref="M32:N32" si="24">+M33+M34</f>
        <v>281149</v>
      </c>
      <c r="N32" s="817">
        <f t="shared" si="24"/>
        <v>245652</v>
      </c>
      <c r="O32" s="838">
        <f>+O33+O34</f>
        <v>687654</v>
      </c>
      <c r="P32" s="500">
        <f>+P33+P34</f>
        <v>359039</v>
      </c>
      <c r="Q32" s="840">
        <f>+Q33+Q34</f>
        <v>328615</v>
      </c>
      <c r="R32" s="761"/>
      <c r="S32" s="761"/>
      <c r="T32" s="44">
        <f t="shared" si="12"/>
        <v>0</v>
      </c>
      <c r="U32" s="312"/>
    </row>
    <row r="33" spans="1:21" x14ac:dyDescent="0.3">
      <c r="A33" s="615" t="s">
        <v>80</v>
      </c>
      <c r="B33" s="616">
        <f>+ROUNDUP(Spss_Univer_2017!G38+Spss_Univer_2017!G45,0)</f>
        <v>295736</v>
      </c>
      <c r="C33" s="616">
        <f>+ROUND(Spss_Univer_2017!H38+Spss_Univer_2017!H45,0)</f>
        <v>434249</v>
      </c>
      <c r="D33" s="616">
        <f>+ROUND(Spss_Univer_2017!I38+Spss_Univer_2017!I45,0)</f>
        <v>239817</v>
      </c>
      <c r="E33" s="617">
        <f>SUM(B33:D33)</f>
        <v>969802</v>
      </c>
      <c r="K33" s="630" t="s">
        <v>80</v>
      </c>
      <c r="L33" s="633">
        <f>+ROUNDDOWN(SUM(Spss_Univer_2017!W28+Spss_Univer_2017!W35+Spss_Univer_2017!AC28+Spss_Univer_2017!AC35),0)</f>
        <v>78741</v>
      </c>
      <c r="M33" s="633">
        <f>+ROUND(SUM(Spss_Univer_2017!X28+Spss_Univer_2017!X35+Spss_Univer_2017!AD28+Spss_Univer_2017!AD35),0)</f>
        <v>135912</v>
      </c>
      <c r="N33" s="815">
        <f>+ROUND(SUM(Spss_Univer_2017!Y28+Spss_Univer_2017!Y35+Spss_Univer_2017!AE28+Spss_Univer_2017!AE35),0)</f>
        <v>116895</v>
      </c>
      <c r="O33" s="633">
        <f>+L33+M33+N33</f>
        <v>331548</v>
      </c>
      <c r="P33" s="655">
        <f>+ROUNDDOWN(SUM(Spss_Univer_2017!W28:Y28,Spss_Univer_2017!W35:Y35),0)</f>
        <v>178523</v>
      </c>
      <c r="Q33" s="650">
        <f>+ROUND(SUM(Spss_Univer_2017!AC28:AE28,Spss_Univer_2017!AC35:AE35),0)</f>
        <v>153025</v>
      </c>
      <c r="R33" s="761">
        <f>SUM(L33:N33)</f>
        <v>331548</v>
      </c>
      <c r="S33" s="761">
        <f>SUM(P33:Q33)</f>
        <v>331548</v>
      </c>
      <c r="T33" s="44">
        <f t="shared" si="12"/>
        <v>0</v>
      </c>
      <c r="U33" s="312"/>
    </row>
    <row r="34" spans="1:21" ht="15" thickBot="1" x14ac:dyDescent="0.35">
      <c r="A34" s="602" t="s">
        <v>81</v>
      </c>
      <c r="B34" s="603">
        <f>+ROUND(Spss_Univer_2017!J38+Spss_Univer_2017!J45,0)</f>
        <v>331705</v>
      </c>
      <c r="C34" s="603">
        <f>+ROUND(Spss_Univer_2017!K38+Spss_Univer_2017!K45,0)</f>
        <v>522189</v>
      </c>
      <c r="D34" s="603">
        <f>+ROUNDUP(Spss_Univer_2017!L38+Spss_Univer_2017!L45,0)</f>
        <v>255483</v>
      </c>
      <c r="E34" s="617">
        <f>SUM(B34:D34)</f>
        <v>1109377</v>
      </c>
      <c r="K34" s="632" t="s">
        <v>81</v>
      </c>
      <c r="L34" s="797">
        <f>+ROUNDDOWN(SUM(Spss_Univer_2017!Z28,Spss_Univer_2017!Z35,Spss_Univer_2017!AF28,Spss_Univer_2017!AF35),0)</f>
        <v>82112</v>
      </c>
      <c r="M34" s="797">
        <f>+ROUND(SUM(Spss_Univer_2017!AA28,Spss_Univer_2017!AA35,Spss_Univer_2017!AG28,Spss_Univer_2017!AG35),0)</f>
        <v>145237</v>
      </c>
      <c r="N34" s="819">
        <f>+ROUND(SUM(Spss_Univer_2017!AB28,Spss_Univer_2017!AB35,Spss_Univer_2017!AH28,Spss_Univer_2017!AH35),0)</f>
        <v>128757</v>
      </c>
      <c r="O34" s="797">
        <f>+L34+M34+N34</f>
        <v>356106</v>
      </c>
      <c r="P34" s="798">
        <f>+ROUNDDOWN(SUM(Spss_Univer_2017!Z28:AB28,Spss_Univer_2017!Z35:AB35),0)</f>
        <v>180516</v>
      </c>
      <c r="Q34" s="788">
        <f>+ROUNDDOWN(SUM(Spss_Univer_2017!AF28:AH28,Spss_Univer_2017!AF35:AH35),0)</f>
        <v>175590</v>
      </c>
      <c r="R34" s="761">
        <f>SUM(L34:N34)</f>
        <v>356106</v>
      </c>
      <c r="S34" s="761">
        <f>SUM(P34:Q34)</f>
        <v>356106</v>
      </c>
      <c r="T34" s="44">
        <f t="shared" si="12"/>
        <v>0</v>
      </c>
      <c r="U34" s="312"/>
    </row>
    <row r="35" spans="1:21" ht="15" thickBot="1" x14ac:dyDescent="0.35">
      <c r="A35" s="364"/>
      <c r="B35" s="753"/>
      <c r="C35" s="754"/>
      <c r="D35" s="754"/>
      <c r="E35" s="755"/>
      <c r="K35" s="457"/>
      <c r="L35" s="799"/>
      <c r="M35" s="799"/>
      <c r="N35" s="820"/>
      <c r="O35" s="799"/>
      <c r="P35" s="799"/>
      <c r="Q35" s="800"/>
    </row>
    <row r="36" spans="1:21" ht="15" thickBot="1" x14ac:dyDescent="0.35">
      <c r="A36" s="613" t="s">
        <v>90</v>
      </c>
      <c r="B36" s="620">
        <f t="shared" ref="B36:D37" si="25">+B24+B27+B30+B33</f>
        <v>882007</v>
      </c>
      <c r="C36" s="620">
        <f t="shared" si="25"/>
        <v>1554603.1763422806</v>
      </c>
      <c r="D36" s="620">
        <f t="shared" si="25"/>
        <v>1000115</v>
      </c>
      <c r="E36" s="621">
        <f>SUM(B36:D36)</f>
        <v>3436725.1763422806</v>
      </c>
      <c r="F36" s="187"/>
      <c r="K36" s="469" t="s">
        <v>90</v>
      </c>
      <c r="L36" s="470">
        <f>+L24+L27+L30+L33</f>
        <v>224099</v>
      </c>
      <c r="M36" s="470">
        <f>+M24+M27+M30+M33</f>
        <v>458437</v>
      </c>
      <c r="N36" s="808">
        <f t="shared" ref="N36" si="26">+N24+N27+N30+N33</f>
        <v>477589</v>
      </c>
      <c r="O36" s="470">
        <f>SUM(L36:N36)</f>
        <v>1160125</v>
      </c>
      <c r="P36" s="471">
        <f>+P24+P27+P30+P33</f>
        <v>607568</v>
      </c>
      <c r="Q36" s="472">
        <f>+Q24+Q27+Q30+Q33</f>
        <v>552557</v>
      </c>
    </row>
    <row r="37" spans="1:21" ht="15" thickBot="1" x14ac:dyDescent="0.35">
      <c r="A37" s="606" t="s">
        <v>89</v>
      </c>
      <c r="B37" s="620">
        <f t="shared" si="25"/>
        <v>961557</v>
      </c>
      <c r="C37" s="620">
        <f t="shared" si="25"/>
        <v>1718278</v>
      </c>
      <c r="D37" s="620">
        <f t="shared" si="25"/>
        <v>1048058</v>
      </c>
      <c r="E37" s="607">
        <f>SUM(B37:D37)</f>
        <v>3727893</v>
      </c>
      <c r="F37" s="187"/>
      <c r="K37" s="473" t="s">
        <v>89</v>
      </c>
      <c r="L37" s="474">
        <f>+L25+L28+L31+L34</f>
        <v>246649</v>
      </c>
      <c r="M37" s="474">
        <f t="shared" ref="M37:N37" si="27">+M25+M28+M31+M34</f>
        <v>528271</v>
      </c>
      <c r="N37" s="821">
        <f t="shared" si="27"/>
        <v>535364</v>
      </c>
      <c r="O37" s="841">
        <f>SUM(L37:N37)</f>
        <v>1310284</v>
      </c>
      <c r="P37" s="475">
        <f>+P25+P28+P31+P34</f>
        <v>683036</v>
      </c>
      <c r="Q37" s="476">
        <f>+Q25+Q28+Q31+Q34</f>
        <v>627248</v>
      </c>
    </row>
    <row r="38" spans="1:21" x14ac:dyDescent="0.3">
      <c r="E38" s="370"/>
      <c r="F38" s="44"/>
    </row>
    <row r="39" spans="1:21" x14ac:dyDescent="0.3">
      <c r="B39" s="371">
        <f>+B23+B26+B29+B32</f>
        <v>1843564</v>
      </c>
      <c r="C39" s="371">
        <f>+C23+C26+C29+C32</f>
        <v>3272881.1763422806</v>
      </c>
      <c r="D39" s="371">
        <f>+D23+D26+D29+D32</f>
        <v>2048173</v>
      </c>
      <c r="E39" s="371">
        <f>+E23+E26+E29+E32</f>
        <v>7164618.1763422806</v>
      </c>
      <c r="F39" s="846"/>
    </row>
    <row r="40" spans="1:21" ht="15" thickBot="1" x14ac:dyDescent="0.35">
      <c r="B40" s="371"/>
      <c r="C40" s="371"/>
      <c r="D40" s="371"/>
      <c r="E40" s="371">
        <f>+E37+E36</f>
        <v>7164618.1763422806</v>
      </c>
      <c r="F40" s="866">
        <f>+(E40-Uni_Lima_Cdes16!E38)/Uni_Lima_Cdes16!E38</f>
        <v>1.5310662557179241E-2</v>
      </c>
      <c r="K40" s="326"/>
    </row>
    <row r="41" spans="1:21" ht="15" thickBot="1" x14ac:dyDescent="0.35">
      <c r="B41" s="371"/>
      <c r="C41" s="371"/>
      <c r="D41" s="371"/>
      <c r="K41" s="653" t="s">
        <v>67</v>
      </c>
      <c r="L41" s="935">
        <f>+(L17-Uni_Lima_Cdes16!L17)/Uni_Lima_Cdes16!L17</f>
        <v>0.22064957809266039</v>
      </c>
      <c r="M41" s="935">
        <f>+(M17-Uni_Lima_Cdes16!M17)/Uni_Lima_Cdes16!M17</f>
        <v>3.6800564499149264E-2</v>
      </c>
      <c r="N41" s="935">
        <f>+(N17-Uni_Lima_Cdes16!N17)/Uni_Lima_Cdes16!N17</f>
        <v>-6.1271796015580818E-2</v>
      </c>
      <c r="O41" s="937">
        <f>+(O17-Uni_Lima_Cdes16!O17)/Uni_Lima_Cdes16!O17</f>
        <v>1.0093562545571148E-2</v>
      </c>
      <c r="P41" s="935">
        <f>+(P17-Uni_Lima_Cdes16!P17)/Uni_Lima_Cdes16!P17</f>
        <v>-1.4813909746597355E-2</v>
      </c>
      <c r="Q41" s="935">
        <f>+(Q17-Uni_Lima_Cdes16!Q17)/Uni_Lima_Cdes16!Q17</f>
        <v>4.0736101305031087E-2</v>
      </c>
    </row>
    <row r="42" spans="1:21" ht="15" thickBot="1" x14ac:dyDescent="0.35">
      <c r="K42" s="630" t="s">
        <v>68</v>
      </c>
      <c r="L42" s="936">
        <f>+(L18-Uni_Lima_Cdes16!L18)/Uni_Lima_Cdes16!L18</f>
        <v>0.25269514192139736</v>
      </c>
      <c r="M42" s="936">
        <f>+(M18-Uni_Lima_Cdes16!M18)/Uni_Lima_Cdes16!M18</f>
        <v>6.1294636443010135E-2</v>
      </c>
      <c r="N42" s="936">
        <f>+(N18-Uni_Lima_Cdes16!N18)/Uni_Lima_Cdes16!N18</f>
        <v>-5.2644349243659246E-2</v>
      </c>
      <c r="O42" s="936">
        <f>+(O18-Uni_Lima_Cdes16!O18)/Uni_Lima_Cdes16!O18</f>
        <v>2.3879719323897996E-2</v>
      </c>
      <c r="P42" s="936">
        <f>+(P18-Uni_Lima_Cdes16!P18)/Uni_Lima_Cdes16!P18</f>
        <v>-2.1835022694501466E-2</v>
      </c>
      <c r="Q42" s="936">
        <f>+(Q18-Uni_Lima_Cdes16!Q18)/Uni_Lima_Cdes16!Q18</f>
        <v>8.1905569181936227E-2</v>
      </c>
    </row>
    <row r="43" spans="1:21" ht="15" thickBot="1" x14ac:dyDescent="0.35">
      <c r="K43" s="632" t="s">
        <v>69</v>
      </c>
      <c r="L43" s="936">
        <f>+(L19-Uni_Lima_Cdes16!L19)/Uni_Lima_Cdes16!L19</f>
        <v>0.19260851394113082</v>
      </c>
      <c r="M43" s="936">
        <f>+(M19-Uni_Lima_Cdes16!M19)/Uni_Lima_Cdes16!M19</f>
        <v>1.0803519061583578E-2</v>
      </c>
      <c r="N43" s="936">
        <f>+(N19-Uni_Lima_Cdes16!N19)/Uni_Lima_Cdes16!N19</f>
        <v>-7.0817917159564744E-2</v>
      </c>
      <c r="O43" s="936">
        <f>+(O19-Uni_Lima_Cdes16!O19)/Uni_Lima_Cdes16!O19</f>
        <v>-4.4885076552590771E-3</v>
      </c>
      <c r="P43" s="936">
        <f>+(P19-Uni_Lima_Cdes16!P19)/Uni_Lima_Cdes16!P19</f>
        <v>-7.169318102721557E-3</v>
      </c>
      <c r="Q43" s="936">
        <f>+(Q19-Uni_Lima_Cdes16!Q19)/Uni_Lima_Cdes16!Q19</f>
        <v>-1.2886716556669336E-3</v>
      </c>
    </row>
    <row r="44" spans="1:21" ht="15" thickBot="1" x14ac:dyDescent="0.35">
      <c r="K44" s="653" t="s">
        <v>70</v>
      </c>
      <c r="L44" s="935">
        <f>+(L20-Uni_Lima_Cdes16!L20)/Uni_Lima_Cdes16!L20</f>
        <v>0.15190057534423687</v>
      </c>
      <c r="M44" s="935">
        <f>+(M20-Uni_Lima_Cdes16!M20)/Uni_Lima_Cdes16!M20</f>
        <v>0.11894189676040581</v>
      </c>
      <c r="N44" s="935">
        <f>+(N20-Uni_Lima_Cdes16!N20)/Uni_Lima_Cdes16!N20</f>
        <v>3.7044261309146467E-2</v>
      </c>
      <c r="O44" s="937">
        <f>+(O20-Uni_Lima_Cdes16!O20)/Uni_Lima_Cdes16!O20</f>
        <v>8.5668449968905394E-2</v>
      </c>
      <c r="P44" s="935">
        <f>+(P20-Uni_Lima_Cdes16!P20)/Uni_Lima_Cdes16!P20</f>
        <v>8.3988677203694406E-2</v>
      </c>
      <c r="Q44" s="935">
        <f>+(Q20-Uni_Lima_Cdes16!Q20)/Uni_Lima_Cdes16!Q20</f>
        <v>8.7530717485172257E-2</v>
      </c>
    </row>
    <row r="45" spans="1:21" ht="15" thickBot="1" x14ac:dyDescent="0.35">
      <c r="K45" s="630" t="s">
        <v>74</v>
      </c>
      <c r="L45" s="936">
        <f>+(L21-Uni_Lima_Cdes16!L21)/Uni_Lima_Cdes16!L21</f>
        <v>2.7887442251154977E-2</v>
      </c>
      <c r="M45" s="936">
        <f>+(M21-Uni_Lima_Cdes16!M21)/Uni_Lima_Cdes16!M21</f>
        <v>5.6642569865635551E-3</v>
      </c>
      <c r="N45" s="936">
        <f>+(N21-Uni_Lima_Cdes16!N21)/Uni_Lima_Cdes16!N21</f>
        <v>9.283781859604158E-2</v>
      </c>
      <c r="O45" s="936">
        <f>+(O21-Uni_Lima_Cdes16!O21)/Uni_Lima_Cdes16!O21</f>
        <v>4.8497364699203779E-2</v>
      </c>
      <c r="P45" s="936">
        <f>+(P21-Uni_Lima_Cdes16!P21)/Uni_Lima_Cdes16!P21</f>
        <v>-4.1407436331294199E-2</v>
      </c>
      <c r="Q45" s="936">
        <f>+(Q21-Uni_Lima_Cdes16!Q21)/Uni_Lima_Cdes16!Q21</f>
        <v>0.16478854269551943</v>
      </c>
    </row>
    <row r="46" spans="1:21" ht="15" thickBot="1" x14ac:dyDescent="0.35">
      <c r="K46" s="632" t="s">
        <v>75</v>
      </c>
      <c r="L46" s="936">
        <f>+(L22-Uni_Lima_Cdes16!L22)/Uni_Lima_Cdes16!L22</f>
        <v>0.32120331791598178</v>
      </c>
      <c r="M46" s="936">
        <f>+(M22-Uni_Lima_Cdes16!M22)/Uni_Lima_Cdes16!M22</f>
        <v>0.24549075013996571</v>
      </c>
      <c r="N46" s="936">
        <f>+(N22-Uni_Lima_Cdes16!N22)/Uni_Lima_Cdes16!N22</f>
        <v>-1.7573769085606452E-2</v>
      </c>
      <c r="O46" s="936">
        <f>+(O22-Uni_Lima_Cdes16!O22)/Uni_Lima_Cdes16!O22</f>
        <v>0.12593280634123749</v>
      </c>
      <c r="P46" s="936">
        <f>+(P22-Uni_Lima_Cdes16!P22)/Uni_Lima_Cdes16!P22</f>
        <v>0.24145972039097319</v>
      </c>
      <c r="Q46" s="936">
        <f>+(Q22-Uni_Lima_Cdes16!Q22)/Uni_Lima_Cdes16!Q22</f>
        <v>1.6475178842401909E-2</v>
      </c>
    </row>
    <row r="47" spans="1:21" ht="15" thickBot="1" x14ac:dyDescent="0.35">
      <c r="K47" s="503" t="s">
        <v>71</v>
      </c>
      <c r="L47" s="935">
        <f>+(L23-Uni_Lima_Cdes16!L23)/Uni_Lima_Cdes16!L23</f>
        <v>8.1938044618823855E-2</v>
      </c>
      <c r="M47" s="935">
        <f>+(M23-Uni_Lima_Cdes16!M23)/Uni_Lima_Cdes16!M23</f>
        <v>6.8181600268469242E-2</v>
      </c>
      <c r="N47" s="935">
        <f>+(N23-Uni_Lima_Cdes16!N23)/Uni_Lima_Cdes16!N23</f>
        <v>-7.5676929941990184E-2</v>
      </c>
      <c r="O47" s="937">
        <f>+(O23-Uni_Lima_Cdes16!O23)/Uni_Lima_Cdes16!O23</f>
        <v>3.5913121474832188E-4</v>
      </c>
      <c r="P47" s="935">
        <f>+(P23-Uni_Lima_Cdes16!P23)/Uni_Lima_Cdes16!P23</f>
        <v>8.8420914947189427E-3</v>
      </c>
      <c r="Q47" s="935">
        <f>+(Q23-Uni_Lima_Cdes16!Q23)/Uni_Lima_Cdes16!Q23</f>
        <v>-9.2246285756523022E-3</v>
      </c>
    </row>
    <row r="48" spans="1:21" ht="15" thickBot="1" x14ac:dyDescent="0.35">
      <c r="K48" s="630" t="s">
        <v>76</v>
      </c>
      <c r="L48" s="936">
        <f>+(L24-Uni_Lima_Cdes16!L24)/Uni_Lima_Cdes16!L24</f>
        <v>0.14721165444929016</v>
      </c>
      <c r="M48" s="936">
        <f>+(M24-Uni_Lima_Cdes16!M24)/Uni_Lima_Cdes16!M24</f>
        <v>6.0023514988292753E-2</v>
      </c>
      <c r="N48" s="936">
        <f>+(N24-Uni_Lima_Cdes16!N24)/Uni_Lima_Cdes16!N24</f>
        <v>-4.9619665005433355E-2</v>
      </c>
      <c r="O48" s="936">
        <f>+(O24-Uni_Lima_Cdes16!O24)/Uni_Lima_Cdes16!O24</f>
        <v>2.0640889101407697E-2</v>
      </c>
      <c r="P48" s="936">
        <f>+(P24-Uni_Lima_Cdes16!P24)/Uni_Lima_Cdes16!P24</f>
        <v>-6.1963414046417475E-5</v>
      </c>
      <c r="Q48" s="936">
        <f>+(Q24-Uni_Lima_Cdes16!Q24)/Uni_Lima_Cdes16!Q24</f>
        <v>4.363714202712414E-2</v>
      </c>
    </row>
    <row r="49" spans="11:17" ht="15" thickBot="1" x14ac:dyDescent="0.35">
      <c r="K49" s="632" t="s">
        <v>77</v>
      </c>
      <c r="L49" s="936">
        <f>+(L25-Uni_Lima_Cdes16!L25)/Uni_Lima_Cdes16!L25</f>
        <v>1.8802728415006284E-2</v>
      </c>
      <c r="M49" s="936">
        <f>+(M25-Uni_Lima_Cdes16!M25)/Uni_Lima_Cdes16!M25</f>
        <v>7.5624088963045136E-2</v>
      </c>
      <c r="N49" s="936">
        <f>+(N25-Uni_Lima_Cdes16!N25)/Uni_Lima_Cdes16!N25</f>
        <v>-9.9379644147521984E-2</v>
      </c>
      <c r="O49" s="936">
        <f>+(O25-Uni_Lima_Cdes16!O25)/Uni_Lima_Cdes16!O25</f>
        <v>-1.8282795659542446E-2</v>
      </c>
      <c r="P49" s="936">
        <f>+(P25-Uni_Lima_Cdes16!P25)/Uni_Lima_Cdes16!P25</f>
        <v>1.6896794404688501E-2</v>
      </c>
      <c r="Q49" s="936">
        <f>+(Q25-Uni_Lima_Cdes16!Q25)/Uni_Lima_Cdes16!Q25</f>
        <v>-5.8694750096584487E-2</v>
      </c>
    </row>
    <row r="50" spans="11:17" ht="15" thickBot="1" x14ac:dyDescent="0.35">
      <c r="K50" s="503" t="s">
        <v>87</v>
      </c>
      <c r="L50" s="935">
        <f>+(L26-Uni_Lima_Cdes16!L26)/Uni_Lima_Cdes16!L26</f>
        <v>6.6602131574911821E-2</v>
      </c>
      <c r="M50" s="938">
        <f>+(M26-Uni_Lima_Cdes16!M26)/Uni_Lima_Cdes16!M26</f>
        <v>4.7137456722358383E-2</v>
      </c>
      <c r="N50" s="938">
        <f>+(N26-Uni_Lima_Cdes16!N26)/Uni_Lima_Cdes16!N26</f>
        <v>-5.7435296903146124E-2</v>
      </c>
      <c r="O50" s="937">
        <f>+(O26-Uni_Lima_Cdes16!O26)/Uni_Lima_Cdes16!O26</f>
        <v>8.4126519034946493E-4</v>
      </c>
      <c r="P50" s="935">
        <f>+(P26-Uni_Lima_Cdes16!P26)/Uni_Lima_Cdes16!P26</f>
        <v>-2.4150247590773622E-3</v>
      </c>
      <c r="Q50" s="935">
        <f>+(Q26-Uni_Lima_Cdes16!Q26)/Uni_Lima_Cdes16!Q26</f>
        <v>4.3824525339403609E-3</v>
      </c>
    </row>
    <row r="51" spans="11:17" ht="15" thickBot="1" x14ac:dyDescent="0.35">
      <c r="K51" s="630" t="s">
        <v>86</v>
      </c>
      <c r="L51" s="936">
        <f>+(L27-Uni_Lima_Cdes16!L27)/Uni_Lima_Cdes16!L27</f>
        <v>6.572301552659475E-2</v>
      </c>
      <c r="M51" s="936">
        <f>+(M27-Uni_Lima_Cdes16!M27)/Uni_Lima_Cdes16!M27</f>
        <v>6.7201753897032868E-2</v>
      </c>
      <c r="N51" s="936">
        <f>+(N27-Uni_Lima_Cdes16!N27)/Uni_Lima_Cdes16!N27</f>
        <v>-8.9142031180094297E-2</v>
      </c>
      <c r="O51" s="936">
        <f>+(O27-Uni_Lima_Cdes16!O27)/Uni_Lima_Cdes16!O27</f>
        <v>-8.4871878342556856E-3</v>
      </c>
      <c r="P51" s="936">
        <f>+(P27-Uni_Lima_Cdes16!P27)/Uni_Lima_Cdes16!P27</f>
        <v>1.606941568144284E-2</v>
      </c>
      <c r="Q51" s="936">
        <f>+(Q27-Uni_Lima_Cdes16!Q27)/Uni_Lima_Cdes16!Q27</f>
        <v>-3.3727619329893432E-2</v>
      </c>
    </row>
    <row r="52" spans="11:17" ht="15" thickBot="1" x14ac:dyDescent="0.35">
      <c r="K52" s="632" t="s">
        <v>85</v>
      </c>
      <c r="L52" s="936">
        <f>+(L28-Uni_Lima_Cdes16!L28)/Uni_Lima_Cdes16!L28</f>
        <v>6.7354379724321928E-2</v>
      </c>
      <c r="M52" s="936">
        <f>+(M28-Uni_Lima_Cdes16!M28)/Uni_Lima_Cdes16!M28</f>
        <v>3.143785481162728E-2</v>
      </c>
      <c r="N52" s="936">
        <f>+(N28-Uni_Lima_Cdes16!N28)/Uni_Lima_Cdes16!N28</f>
        <v>-2.9893936313958078E-2</v>
      </c>
      <c r="O52" s="936">
        <f>+(O28-Uni_Lima_Cdes16!O28)/Uni_Lima_Cdes16!O28</f>
        <v>8.6191615705042985E-3</v>
      </c>
      <c r="P52" s="936">
        <f>+(P28-Uni_Lima_Cdes16!P28)/Uni_Lima_Cdes16!P28</f>
        <v>-1.7079485899675569E-2</v>
      </c>
      <c r="Q52" s="936">
        <f>+(Q28-Uni_Lima_Cdes16!Q28)/Uni_Lima_Cdes16!Q28</f>
        <v>3.7914888572783308E-2</v>
      </c>
    </row>
    <row r="53" spans="11:17" ht="15" thickBot="1" x14ac:dyDescent="0.35">
      <c r="K53" s="503" t="s">
        <v>72</v>
      </c>
      <c r="L53" s="935">
        <f>+(L29-Uni_Lima_Cdes16!L29)/Uni_Lima_Cdes16!L29</f>
        <v>4.6341586405123293E-2</v>
      </c>
      <c r="M53" s="935">
        <f>+(M29-Uni_Lima_Cdes16!M29)/Uni_Lima_Cdes16!M29</f>
        <v>8.9427249059878505E-2</v>
      </c>
      <c r="N53" s="935">
        <f>+(N29-Uni_Lima_Cdes16!N29)/Uni_Lima_Cdes16!N29</f>
        <v>5.2547880458864653E-2</v>
      </c>
      <c r="O53" s="937">
        <f>+(O29-Uni_Lima_Cdes16!O29)/Uni_Lima_Cdes16!O29</f>
        <v>6.6348823292818118E-2</v>
      </c>
      <c r="P53" s="935">
        <f>+(P29-Uni_Lima_Cdes16!P29)/Uni_Lima_Cdes16!P29</f>
        <v>6.5554358704038987E-2</v>
      </c>
      <c r="Q53" s="935">
        <f>+(Q29-Uni_Lima_Cdes16!Q29)/Uni_Lima_Cdes16!Q29</f>
        <v>6.7187871893241685E-2</v>
      </c>
    </row>
    <row r="54" spans="11:17" ht="15" thickBot="1" x14ac:dyDescent="0.35">
      <c r="K54" s="630" t="s">
        <v>78</v>
      </c>
      <c r="L54" s="936">
        <f>+(L30-Uni_Lima_Cdes16!L30)/Uni_Lima_Cdes16!L30</f>
        <v>-5.7821405953134897E-2</v>
      </c>
      <c r="M54" s="936">
        <f>+(M30-Uni_Lima_Cdes16!M30)/Uni_Lima_Cdes16!M30</f>
        <v>7.2263739031865323E-2</v>
      </c>
      <c r="N54" s="936">
        <f>+(N30-Uni_Lima_Cdes16!N30)/Uni_Lima_Cdes16!N30</f>
        <v>7.267656814484609E-2</v>
      </c>
      <c r="O54" s="936">
        <f>+(O30-Uni_Lima_Cdes16!O30)/Uni_Lima_Cdes16!O30</f>
        <v>4.6462041531823088E-2</v>
      </c>
      <c r="P54" s="936">
        <f>+(P30-Uni_Lima_Cdes16!P30)/Uni_Lima_Cdes16!P30</f>
        <v>6.799426054790203E-2</v>
      </c>
      <c r="Q54" s="936">
        <f>+(Q30-Uni_Lima_Cdes16!Q30)/Uni_Lima_Cdes16!Q30</f>
        <v>2.4224150484397352E-2</v>
      </c>
    </row>
    <row r="55" spans="11:17" ht="15" thickBot="1" x14ac:dyDescent="0.35">
      <c r="K55" s="632" t="s">
        <v>79</v>
      </c>
      <c r="L55" s="936">
        <f>+(L31-Uni_Lima_Cdes16!L31)/Uni_Lima_Cdes16!L31</f>
        <v>0.14162402240030897</v>
      </c>
      <c r="M55" s="936">
        <f>+(M31-Uni_Lima_Cdes16!M31)/Uni_Lima_Cdes16!M31</f>
        <v>0.10400913111713511</v>
      </c>
      <c r="N55" s="936">
        <f>+(N31-Uni_Lima_Cdes16!N31)/Uni_Lima_Cdes16!N31</f>
        <v>3.4976577772859722E-2</v>
      </c>
      <c r="O55" s="936">
        <f>+(O31-Uni_Lima_Cdes16!O31)/Uni_Lima_Cdes16!O31</f>
        <v>8.3675694727450955E-2</v>
      </c>
      <c r="P55" s="936">
        <f>+(P31-Uni_Lima_Cdes16!P31)/Uni_Lima_Cdes16!P31</f>
        <v>6.3471383356109579E-2</v>
      </c>
      <c r="Q55" s="936">
        <f>+(Q31-Uni_Lima_Cdes16!Q31)/Uni_Lima_Cdes16!Q31</f>
        <v>0.10543372171048618</v>
      </c>
    </row>
    <row r="56" spans="11:17" ht="15" thickBot="1" x14ac:dyDescent="0.35">
      <c r="K56" s="503" t="s">
        <v>73</v>
      </c>
      <c r="L56" s="935">
        <f>+(L32-Uni_Lima_Cdes16!L32)/Uni_Lima_Cdes16!L32</f>
        <v>0.13057015940847366</v>
      </c>
      <c r="M56" s="935">
        <f>+(M32-Uni_Lima_Cdes16!M32)/Uni_Lima_Cdes16!M32</f>
        <v>2.2672746004641494E-3</v>
      </c>
      <c r="N56" s="935">
        <f>+(N32-Uni_Lima_Cdes16!N32)/Uni_Lima_Cdes16!N32</f>
        <v>-3.8073421439060208E-2</v>
      </c>
      <c r="O56" s="937">
        <f>+(O32-Uni_Lima_Cdes16!O32)/Uni_Lima_Cdes16!O32</f>
        <v>1.3993665249113784E-2</v>
      </c>
      <c r="P56" s="935">
        <f>+(P32-Uni_Lima_Cdes16!P32)/Uni_Lima_Cdes16!P32</f>
        <v>1.3401412962790474E-2</v>
      </c>
      <c r="Q56" s="935">
        <f>+(Q32-Uni_Lima_Cdes16!Q32)/Uni_Lima_Cdes16!Q32</f>
        <v>1.464154159192029E-2</v>
      </c>
    </row>
    <row r="57" spans="11:17" ht="15" thickBot="1" x14ac:dyDescent="0.35">
      <c r="K57" s="630" t="s">
        <v>80</v>
      </c>
      <c r="L57" s="936">
        <f>+(L33-Uni_Lima_Cdes16!L33)/Uni_Lima_Cdes16!L33</f>
        <v>0.16186864588098154</v>
      </c>
      <c r="M57" s="936">
        <f>+(M33-Uni_Lima_Cdes16!M33)/Uni_Lima_Cdes16!M33</f>
        <v>3.4322156435975103E-2</v>
      </c>
      <c r="N57" s="936">
        <f>+(N33-Uni_Lima_Cdes16!N33)/Uni_Lima_Cdes16!N33</f>
        <v>-1.8307789208482049E-2</v>
      </c>
      <c r="O57" s="936">
        <f>+(O33-Uni_Lima_Cdes16!O33)/Uni_Lima_Cdes16!O33</f>
        <v>4.1791307408059121E-2</v>
      </c>
      <c r="P57" s="936">
        <f>+(P33-Uni_Lima_Cdes16!P33)/Uni_Lima_Cdes16!P33</f>
        <v>8.8501780400956048E-2</v>
      </c>
      <c r="Q57" s="936">
        <f>+(Q33-Uni_Lima_Cdes16!Q33)/Uni_Lima_Cdes16!Q33</f>
        <v>-7.8837663137557457E-3</v>
      </c>
    </row>
    <row r="58" spans="11:17" ht="15" thickBot="1" x14ac:dyDescent="0.35">
      <c r="K58" s="632" t="s">
        <v>81</v>
      </c>
      <c r="L58" s="936">
        <f>+(L34-Uni_Lima_Cdes16!L34)/Uni_Lima_Cdes16!L34</f>
        <v>0.10210053016576069</v>
      </c>
      <c r="M58" s="936">
        <f>+(M34-Uni_Lima_Cdes16!M34)/Uni_Lima_Cdes16!M34</f>
        <v>-2.5980645291091869E-2</v>
      </c>
      <c r="N58" s="936">
        <f>+(N34-Uni_Lima_Cdes16!N34)/Uni_Lima_Cdes16!N34</f>
        <v>-5.5341159207630226E-2</v>
      </c>
      <c r="O58" s="936">
        <f>+(O34-Uni_Lima_Cdes16!O34)/Uni_Lima_Cdes16!O34</f>
        <v>-1.058580335411596E-2</v>
      </c>
      <c r="P58" s="936">
        <f>+(P34-Uni_Lima_Cdes16!P34)/Uni_Lima_Cdes16!P34</f>
        <v>-5.1328810245791792E-2</v>
      </c>
      <c r="Q58" s="936">
        <f>+(Q34-Uni_Lima_Cdes16!Q34)/Uni_Lima_Cdes16!Q34</f>
        <v>3.512308998302207E-2</v>
      </c>
    </row>
    <row r="59" spans="11:17" x14ac:dyDescent="0.3">
      <c r="K59" s="326"/>
    </row>
    <row r="60" spans="11:17" x14ac:dyDescent="0.3">
      <c r="K60" s="326"/>
    </row>
    <row r="61" spans="11:17" x14ac:dyDescent="0.3">
      <c r="K61" s="326"/>
    </row>
    <row r="62" spans="11:17" x14ac:dyDescent="0.3">
      <c r="K62" s="326"/>
    </row>
    <row r="63" spans="11:17" x14ac:dyDescent="0.3">
      <c r="K63" s="326"/>
    </row>
    <row r="64" spans="11:17" x14ac:dyDescent="0.3">
      <c r="K64" s="326"/>
    </row>
    <row r="65" spans="11:11" x14ac:dyDescent="0.3">
      <c r="K65" s="326"/>
    </row>
    <row r="66" spans="11:11" x14ac:dyDescent="0.3">
      <c r="K66" s="326"/>
    </row>
    <row r="67" spans="11:11" x14ac:dyDescent="0.3">
      <c r="K67" s="326"/>
    </row>
    <row r="68" spans="11:11" x14ac:dyDescent="0.3">
      <c r="K68" s="326"/>
    </row>
    <row r="69" spans="11:11" x14ac:dyDescent="0.3">
      <c r="K69" s="326"/>
    </row>
    <row r="70" spans="11:11" x14ac:dyDescent="0.3">
      <c r="K70" s="326"/>
    </row>
    <row r="71" spans="11:11" x14ac:dyDescent="0.3">
      <c r="K71" s="326"/>
    </row>
    <row r="72" spans="11:11" x14ac:dyDescent="0.3">
      <c r="K72" s="326"/>
    </row>
    <row r="73" spans="11:11" x14ac:dyDescent="0.3">
      <c r="K73" s="326"/>
    </row>
    <row r="74" spans="11:11" x14ac:dyDescent="0.3">
      <c r="K74" s="326"/>
    </row>
    <row r="75" spans="11:11" x14ac:dyDescent="0.3">
      <c r="K75" s="326"/>
    </row>
    <row r="76" spans="11:11" x14ac:dyDescent="0.3">
      <c r="K76" s="326"/>
    </row>
    <row r="77" spans="11:11" x14ac:dyDescent="0.3">
      <c r="K77" s="326"/>
    </row>
    <row r="78" spans="11:11" x14ac:dyDescent="0.3">
      <c r="K78" s="326"/>
    </row>
    <row r="79" spans="11:11" x14ac:dyDescent="0.3">
      <c r="K79" s="326"/>
    </row>
    <row r="80" spans="11:11" x14ac:dyDescent="0.3">
      <c r="K80" s="326"/>
    </row>
    <row r="81" spans="11:11" x14ac:dyDescent="0.3">
      <c r="K81" s="326"/>
    </row>
    <row r="82" spans="11:11" x14ac:dyDescent="0.3">
      <c r="K82" s="326"/>
    </row>
    <row r="83" spans="11:11" x14ac:dyDescent="0.3">
      <c r="K83" s="326"/>
    </row>
    <row r="84" spans="11:11" x14ac:dyDescent="0.3">
      <c r="K84" s="326"/>
    </row>
    <row r="85" spans="11:11" x14ac:dyDescent="0.3">
      <c r="K85" s="326"/>
    </row>
    <row r="86" spans="11:11" x14ac:dyDescent="0.3">
      <c r="K86" s="326"/>
    </row>
  </sheetData>
  <mergeCells count="2">
    <mergeCell ref="A1:E1"/>
    <mergeCell ref="K1:Q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36"/>
  <sheetViews>
    <sheetView zoomScaleNormal="100" workbookViewId="0">
      <selection activeCell="I33" sqref="I33"/>
    </sheetView>
  </sheetViews>
  <sheetFormatPr baseColWidth="10" defaultColWidth="11.44140625" defaultRowHeight="14.4" x14ac:dyDescent="0.3"/>
  <cols>
    <col min="1" max="1" width="25.33203125" style="105" customWidth="1"/>
    <col min="2" max="2" width="11.44140625" style="105"/>
    <col min="3" max="3" width="13" style="105" bestFit="1" customWidth="1"/>
    <col min="4" max="5" width="11.44140625" style="105"/>
    <col min="6" max="6" width="10.109375" style="105" bestFit="1" customWidth="1"/>
    <col min="7" max="8" width="9.88671875" style="105" customWidth="1"/>
    <col min="9" max="9" width="11.33203125" style="105" bestFit="1" customWidth="1"/>
    <col min="10" max="10" width="10.109375" style="105" customWidth="1"/>
    <col min="11" max="11" width="10.6640625" style="105" customWidth="1"/>
    <col min="12" max="12" width="10.44140625" style="105" customWidth="1"/>
    <col min="13" max="13" width="11.44140625" style="105"/>
    <col min="14" max="14" width="10.44140625" style="105" customWidth="1"/>
    <col min="15" max="15" width="15.109375" style="105" customWidth="1"/>
    <col min="16" max="16384" width="11.44140625" style="105"/>
  </cols>
  <sheetData>
    <row r="1" spans="1:19" ht="15.75" customHeight="1" thickBot="1" x14ac:dyDescent="0.35">
      <c r="B1" s="997" t="s">
        <v>39</v>
      </c>
      <c r="C1" s="997"/>
      <c r="D1" s="997"/>
      <c r="E1" s="997"/>
      <c r="F1" s="997"/>
      <c r="G1" s="997"/>
      <c r="H1" s="997"/>
      <c r="I1" s="997"/>
      <c r="J1" s="997"/>
      <c r="K1" s="997"/>
      <c r="L1" s="997"/>
      <c r="M1" s="997"/>
      <c r="N1" s="997"/>
      <c r="O1" s="997"/>
    </row>
    <row r="2" spans="1:19" ht="16.2" thickBot="1" x14ac:dyDescent="0.35">
      <c r="A2" s="106"/>
      <c r="B2" s="988" t="s">
        <v>0</v>
      </c>
      <c r="C2" s="989"/>
      <c r="D2" s="989"/>
      <c r="E2" s="990"/>
      <c r="F2" s="991" t="s">
        <v>1</v>
      </c>
      <c r="G2" s="992"/>
      <c r="H2" s="992"/>
      <c r="I2" s="993"/>
      <c r="J2" s="994" t="s">
        <v>2</v>
      </c>
      <c r="K2" s="995"/>
      <c r="L2" s="995"/>
      <c r="M2" s="996"/>
      <c r="N2" s="5" t="s">
        <v>3</v>
      </c>
      <c r="O2" s="6" t="s">
        <v>4</v>
      </c>
    </row>
    <row r="3" spans="1:19" ht="15.6" x14ac:dyDescent="0.3">
      <c r="A3" s="112"/>
      <c r="B3" s="313" t="s">
        <v>5</v>
      </c>
      <c r="C3" s="314" t="s">
        <v>6</v>
      </c>
      <c r="D3" s="314" t="s">
        <v>7</v>
      </c>
      <c r="E3" s="315" t="s">
        <v>8</v>
      </c>
      <c r="F3" s="313" t="s">
        <v>5</v>
      </c>
      <c r="G3" s="314" t="s">
        <v>6</v>
      </c>
      <c r="H3" s="314" t="s">
        <v>7</v>
      </c>
      <c r="I3" s="316" t="s">
        <v>8</v>
      </c>
      <c r="J3" s="317" t="s">
        <v>5</v>
      </c>
      <c r="K3" s="318" t="s">
        <v>6</v>
      </c>
      <c r="L3" s="318" t="s">
        <v>7</v>
      </c>
      <c r="M3" s="319" t="s">
        <v>8</v>
      </c>
      <c r="N3" s="320" t="s">
        <v>8</v>
      </c>
      <c r="O3" s="321" t="s">
        <v>8</v>
      </c>
    </row>
    <row r="4" spans="1:19" ht="15.6" x14ac:dyDescent="0.3">
      <c r="A4" s="115" t="s">
        <v>9</v>
      </c>
      <c r="B4" s="243">
        <f>UNIV_LIMA14!M5</f>
        <v>530377</v>
      </c>
      <c r="C4" s="244">
        <f>UNIV_LIMA14!N5</f>
        <v>926760</v>
      </c>
      <c r="D4" s="244">
        <f>UNIV_LIMA14!O5</f>
        <v>926200</v>
      </c>
      <c r="E4" s="278">
        <f>ROUND(D4+C4+B4,0)</f>
        <v>2383337</v>
      </c>
      <c r="F4" s="243">
        <f>UNIV_CDES14!Q5</f>
        <v>111047.47798300008</v>
      </c>
      <c r="G4" s="244">
        <f>UNIV_CDES14!R5</f>
        <v>276412.56249899953</v>
      </c>
      <c r="H4" s="244">
        <f>UNIV_CDES14!S5</f>
        <v>439678.17882299895</v>
      </c>
      <c r="I4" s="245">
        <f>SUM(F4:H4)</f>
        <v>827138.21930499864</v>
      </c>
      <c r="J4" s="260">
        <f>ROUNDDOWN(B4+F4,0)</f>
        <v>641424</v>
      </c>
      <c r="K4" s="261">
        <f>ROUNDUP(C4+G4,0)</f>
        <v>1203173</v>
      </c>
      <c r="L4" s="261">
        <f>ROUNDDOWN(D4+H4,0)</f>
        <v>1365878</v>
      </c>
      <c r="M4" s="262">
        <f t="shared" ref="K4:M5" si="0">E4+I4</f>
        <v>3210475.2193049984</v>
      </c>
      <c r="N4" s="116">
        <f>UNIV_CDES14!U5</f>
        <v>401032.32915299671</v>
      </c>
      <c r="O4" s="117">
        <f>UNIV_CDES14!V5</f>
        <v>426105.89015201252</v>
      </c>
      <c r="P4" s="107"/>
      <c r="Q4" s="107"/>
      <c r="R4" s="107"/>
    </row>
    <row r="5" spans="1:19" ht="16.5" customHeight="1" x14ac:dyDescent="0.3">
      <c r="A5" s="115" t="s">
        <v>10</v>
      </c>
      <c r="B5" s="243">
        <f>UNIV_LIMA14!M3</f>
        <v>481267</v>
      </c>
      <c r="C5" s="244">
        <f>UNIV_LIMA14!N3</f>
        <v>698078</v>
      </c>
      <c r="D5" s="244">
        <f>UNIV_LIMA14!O3</f>
        <v>440248</v>
      </c>
      <c r="E5" s="278">
        <f t="shared" ref="E5:E9" si="1">ROUND(D5+C5+B5,0)</f>
        <v>1619593</v>
      </c>
      <c r="F5" s="243">
        <f>UNIV_CDES14!Q3</f>
        <v>83771.99190000011</v>
      </c>
      <c r="G5" s="244">
        <f>UNIV_CDES14!R3</f>
        <v>130202.1632060001</v>
      </c>
      <c r="H5" s="244">
        <f>UNIV_CDES14!S3</f>
        <v>49734.730512000096</v>
      </c>
      <c r="I5" s="245">
        <f>SUM(F5:H5)</f>
        <v>263708.88561800029</v>
      </c>
      <c r="J5" s="260">
        <f>B5+F5</f>
        <v>565038.99190000014</v>
      </c>
      <c r="K5" s="261">
        <f t="shared" si="0"/>
        <v>828280.16320600011</v>
      </c>
      <c r="L5" s="261">
        <f t="shared" si="0"/>
        <v>489982.7305120001</v>
      </c>
      <c r="M5" s="262">
        <f t="shared" si="0"/>
        <v>1883301.8856180003</v>
      </c>
      <c r="N5" s="116"/>
      <c r="O5" s="117"/>
      <c r="P5" s="322">
        <f>B5/B4*100</f>
        <v>90.740548704035049</v>
      </c>
      <c r="Q5" s="322">
        <f t="shared" ref="Q5:S5" si="2">C5/C4*100</f>
        <v>75.324571625879415</v>
      </c>
      <c r="R5" s="322">
        <f t="shared" si="2"/>
        <v>47.532714316562299</v>
      </c>
      <c r="S5" s="322">
        <f t="shared" si="2"/>
        <v>67.954846503033352</v>
      </c>
    </row>
    <row r="6" spans="1:19" ht="15.6" x14ac:dyDescent="0.3">
      <c r="A6" s="118" t="s">
        <v>35</v>
      </c>
      <c r="B6" s="246">
        <f>UNIV_LIMA14!M10</f>
        <v>1962721</v>
      </c>
      <c r="C6" s="247">
        <f>UNIV_LIMA14!N10</f>
        <v>3709456</v>
      </c>
      <c r="D6" s="247">
        <f>UNIV_LIMA14!O10</f>
        <v>3493986</v>
      </c>
      <c r="E6" s="279">
        <f t="shared" si="1"/>
        <v>9166163</v>
      </c>
      <c r="F6" s="246">
        <f>UNIV_CDES14!Q10</f>
        <v>410449.59855141258</v>
      </c>
      <c r="G6" s="247">
        <f>ROUNDDOWN(UNIV_CDES14!R10,0)</f>
        <v>1064225</v>
      </c>
      <c r="H6" s="247">
        <f>UNIV_CDES14!S10</f>
        <v>1712703.5783788709</v>
      </c>
      <c r="I6" s="248">
        <f>ROUNDUP(SUM(F6:H6),0)</f>
        <v>3187379</v>
      </c>
      <c r="J6" s="263">
        <f>B6+F6</f>
        <v>2373170.5985514126</v>
      </c>
      <c r="K6" s="264">
        <f t="shared" ref="K6:K25" si="3">C6+G6</f>
        <v>4773681</v>
      </c>
      <c r="L6" s="264">
        <f>ROUNDUP(D6+H6,0)</f>
        <v>5206690</v>
      </c>
      <c r="M6" s="265">
        <f>E6+I6</f>
        <v>12353542</v>
      </c>
      <c r="N6" s="119">
        <f>UNIV_CDES14!U10</f>
        <v>1634205.9431858414</v>
      </c>
      <c r="O6" s="120">
        <f>UNIV_CDES14!V10</f>
        <v>1553173.1006757256</v>
      </c>
      <c r="P6" s="107"/>
      <c r="Q6" s="107"/>
      <c r="R6" s="107"/>
    </row>
    <row r="7" spans="1:19" ht="15.6" x14ac:dyDescent="0.3">
      <c r="A7" s="118" t="s">
        <v>11</v>
      </c>
      <c r="B7" s="246">
        <f>UNIV_LIMA14!M11</f>
        <v>1790472</v>
      </c>
      <c r="C7" s="247">
        <f>UNIV_LIMA14!N11</f>
        <v>2856204</v>
      </c>
      <c r="D7" s="247">
        <f>UNIV_LIMA14!O11</f>
        <v>1690826</v>
      </c>
      <c r="E7" s="279">
        <f t="shared" si="1"/>
        <v>6337502</v>
      </c>
      <c r="F7" s="246"/>
      <c r="G7" s="247"/>
      <c r="H7" s="247"/>
      <c r="I7" s="248">
        <v>1009546.5188075685</v>
      </c>
      <c r="J7" s="263"/>
      <c r="K7" s="264"/>
      <c r="L7" s="264"/>
      <c r="M7" s="265">
        <f>E7+I7</f>
        <v>7347048.5188075686</v>
      </c>
      <c r="N7" s="121"/>
      <c r="O7" s="122"/>
      <c r="P7" s="107"/>
      <c r="Q7" s="107"/>
      <c r="R7" s="107"/>
    </row>
    <row r="8" spans="1:19" ht="15.6" x14ac:dyDescent="0.3">
      <c r="A8" s="118" t="s">
        <v>12</v>
      </c>
      <c r="B8" s="246">
        <f>UNIV_LIMA14!M14</f>
        <v>1054899</v>
      </c>
      <c r="C8" s="247">
        <f>ROUND(UNIV_LIMA14!N14,0)</f>
        <v>1900374</v>
      </c>
      <c r="D8" s="247">
        <f>UNIV_LIMA14!O14</f>
        <v>1756130</v>
      </c>
      <c r="E8" s="279">
        <f t="shared" si="1"/>
        <v>4711403</v>
      </c>
      <c r="F8" s="246">
        <f>UNIV_CDES14!Q14</f>
        <v>206934.42110446596</v>
      </c>
      <c r="G8" s="247">
        <f>UNIV_CDES14!R14</f>
        <v>561127.4388509742</v>
      </c>
      <c r="H8" s="247">
        <v>886028</v>
      </c>
      <c r="I8" s="248">
        <f>ROUNDDOWN(SUM(F8:H8),0)</f>
        <v>1654089</v>
      </c>
      <c r="J8" s="263">
        <f t="shared" ref="J8:J25" si="4">B8+F8</f>
        <v>1261833.4211044661</v>
      </c>
      <c r="K8" s="264">
        <f t="shared" si="3"/>
        <v>2461501.4388509742</v>
      </c>
      <c r="L8" s="264">
        <f t="shared" ref="L8:L25" si="5">D8+H8</f>
        <v>2642158</v>
      </c>
      <c r="M8" s="265">
        <f t="shared" ref="M8:M25" si="6">E8+I8</f>
        <v>6365492</v>
      </c>
      <c r="N8" s="119">
        <f>ROUNDUP(UNIV_CDES14!U14,0)</f>
        <v>848267</v>
      </c>
      <c r="O8" s="120">
        <f>UNIV_CDES14!V14</f>
        <v>805822.41678672784</v>
      </c>
      <c r="P8" s="107"/>
      <c r="Q8" s="107"/>
      <c r="R8" s="107"/>
    </row>
    <row r="9" spans="1:19" ht="15.6" x14ac:dyDescent="0.3">
      <c r="A9" s="118" t="s">
        <v>13</v>
      </c>
      <c r="B9" s="246">
        <f>UNIV_LIMA14!M15</f>
        <v>907822</v>
      </c>
      <c r="C9" s="247">
        <f>ROUND(UNIV_LIMA14!N15,0)</f>
        <v>1809082</v>
      </c>
      <c r="D9" s="247">
        <f>ROUNDUP(UNIV_LIMA14!O15,0)</f>
        <v>1737856</v>
      </c>
      <c r="E9" s="279">
        <f t="shared" si="1"/>
        <v>4454760</v>
      </c>
      <c r="F9" s="246">
        <f>ROUNDUP(UNIV_CDES14!Q15,0)</f>
        <v>203516</v>
      </c>
      <c r="G9" s="247">
        <f>UNIV_CDES14!R15</f>
        <v>503098.42808030482</v>
      </c>
      <c r="H9" s="247">
        <f>ROUNDDOWN(UNIV_CDES14!S15,0)</f>
        <v>826676</v>
      </c>
      <c r="I9" s="248">
        <f t="shared" ref="I9" si="7">SUM(F9:H9)</f>
        <v>1533290.4280803048</v>
      </c>
      <c r="J9" s="263">
        <f t="shared" si="4"/>
        <v>1111338</v>
      </c>
      <c r="K9" s="264">
        <f t="shared" si="3"/>
        <v>2312180.428080305</v>
      </c>
      <c r="L9" s="264">
        <f t="shared" si="5"/>
        <v>2564532</v>
      </c>
      <c r="M9" s="265">
        <f t="shared" si="6"/>
        <v>5988050.4280803045</v>
      </c>
      <c r="N9" s="119">
        <f>ROUNDDOWN(UNIV_CDES14!U15,0)</f>
        <v>785939</v>
      </c>
      <c r="O9" s="120">
        <f>UNIV_CDES14!V15</f>
        <v>747350.68388899788</v>
      </c>
      <c r="P9" s="107"/>
      <c r="Q9" s="107"/>
      <c r="R9" s="107"/>
    </row>
    <row r="10" spans="1:19" ht="15.6" x14ac:dyDescent="0.3">
      <c r="A10" s="113" t="s">
        <v>34</v>
      </c>
      <c r="B10" s="249">
        <f>B11+B12</f>
        <v>208773</v>
      </c>
      <c r="C10" s="250">
        <f>C11+C12</f>
        <v>479378</v>
      </c>
      <c r="D10" s="250">
        <f>D11+D12</f>
        <v>614452</v>
      </c>
      <c r="E10" s="280">
        <f>ROUND(B10+C10+D10,0)</f>
        <v>1302603</v>
      </c>
      <c r="F10" s="249">
        <f>UNIV_CDES14!Q17</f>
        <v>44489.565319378074</v>
      </c>
      <c r="G10" s="250">
        <f>UNIV_CDES14!R17</f>
        <v>123799.70876547263</v>
      </c>
      <c r="H10" s="250">
        <f>ROUNDUP(UNIV_CDES14!S17,0)</f>
        <v>295477</v>
      </c>
      <c r="I10" s="251">
        <f>ROUNDUP(SUM(F10:H10),0)</f>
        <v>463767</v>
      </c>
      <c r="J10" s="266">
        <f>B10+F10</f>
        <v>253262.56531937807</v>
      </c>
      <c r="K10" s="267">
        <f>C10+G10</f>
        <v>603177.70876547263</v>
      </c>
      <c r="L10" s="267">
        <f>D10+H10</f>
        <v>909929</v>
      </c>
      <c r="M10" s="268">
        <f>E10+I10</f>
        <v>1766370</v>
      </c>
      <c r="N10" s="123"/>
      <c r="O10" s="124"/>
      <c r="P10" s="107"/>
      <c r="Q10" s="107"/>
      <c r="R10" s="107"/>
    </row>
    <row r="11" spans="1:19" ht="15.6" x14ac:dyDescent="0.3">
      <c r="A11" s="125" t="s">
        <v>36</v>
      </c>
      <c r="B11" s="249">
        <f>UNIV_LIMA14!M18</f>
        <v>99170</v>
      </c>
      <c r="C11" s="250">
        <f>UNIV_LIMA14!N18</f>
        <v>268811</v>
      </c>
      <c r="D11" s="250">
        <f>ROUNDDOWN(UNIV_LIMA14!O18,0)</f>
        <v>304839</v>
      </c>
      <c r="E11" s="280">
        <f t="shared" ref="E11:E29" si="8">B11+C11+D11</f>
        <v>672820</v>
      </c>
      <c r="F11" s="252"/>
      <c r="G11" s="253"/>
      <c r="H11" s="253"/>
      <c r="I11" s="251"/>
      <c r="J11" s="269"/>
      <c r="K11" s="270"/>
      <c r="L11" s="270"/>
      <c r="M11" s="271"/>
      <c r="N11" s="123"/>
      <c r="O11" s="124"/>
      <c r="P11" s="107"/>
      <c r="Q11" s="107"/>
      <c r="R11" s="107"/>
    </row>
    <row r="12" spans="1:19" ht="15.6" x14ac:dyDescent="0.3">
      <c r="A12" s="125" t="s">
        <v>37</v>
      </c>
      <c r="B12" s="249">
        <f>UNIV_LIMA14!M19</f>
        <v>109603</v>
      </c>
      <c r="C12" s="250">
        <f>UNIV_LIMA14!N19</f>
        <v>210567</v>
      </c>
      <c r="D12" s="250">
        <f>UNIV_LIMA14!O19</f>
        <v>309613</v>
      </c>
      <c r="E12" s="280">
        <f t="shared" si="8"/>
        <v>629783</v>
      </c>
      <c r="F12" s="252"/>
      <c r="G12" s="253"/>
      <c r="H12" s="253"/>
      <c r="I12" s="251"/>
      <c r="J12" s="269"/>
      <c r="K12" s="270"/>
      <c r="L12" s="270"/>
      <c r="M12" s="271"/>
      <c r="N12" s="123"/>
      <c r="O12" s="124"/>
      <c r="P12" s="107"/>
      <c r="Q12" s="107"/>
      <c r="R12" s="107"/>
    </row>
    <row r="13" spans="1:19" ht="15.6" x14ac:dyDescent="0.3">
      <c r="A13" s="113" t="s">
        <v>14</v>
      </c>
      <c r="B13" s="249">
        <f>B14+B15</f>
        <v>188314</v>
      </c>
      <c r="C13" s="250">
        <f t="shared" ref="C13:D13" si="9">C14+C15</f>
        <v>474378</v>
      </c>
      <c r="D13" s="250">
        <f t="shared" si="9"/>
        <v>463546</v>
      </c>
      <c r="E13" s="280">
        <f>ROUND(B13+C13+D13,0)</f>
        <v>1126238</v>
      </c>
      <c r="F13" s="249">
        <f>UNIV_CDES14!Q20</f>
        <v>44753.730878578725</v>
      </c>
      <c r="G13" s="250">
        <f>ROUNDDOWN(UNIV_CDES14!R20,0)</f>
        <v>128276</v>
      </c>
      <c r="H13" s="250">
        <f>UNIV_CDES14!S20</f>
        <v>244528.24389310231</v>
      </c>
      <c r="I13" s="251">
        <f t="shared" ref="I13:I29" si="10">SUM(F13:H13)</f>
        <v>417557.97477168101</v>
      </c>
      <c r="J13" s="266">
        <f t="shared" si="4"/>
        <v>233067.73087857873</v>
      </c>
      <c r="K13" s="267">
        <f t="shared" si="3"/>
        <v>602654</v>
      </c>
      <c r="L13" s="267">
        <f t="shared" si="5"/>
        <v>708074.24389310228</v>
      </c>
      <c r="M13" s="268">
        <f t="shared" si="6"/>
        <v>1543795.974771681</v>
      </c>
      <c r="N13" s="123"/>
      <c r="O13" s="124"/>
      <c r="P13" s="107"/>
      <c r="Q13" s="107"/>
      <c r="R13" s="107"/>
    </row>
    <row r="14" spans="1:19" ht="15.6" x14ac:dyDescent="0.3">
      <c r="A14" s="125" t="s">
        <v>15</v>
      </c>
      <c r="B14" s="249">
        <f>UNIV_LIMA14!M21</f>
        <v>96854</v>
      </c>
      <c r="C14" s="250">
        <f>UNIV_LIMA14!N21</f>
        <v>234402</v>
      </c>
      <c r="D14" s="250">
        <f>UNIV_LIMA14!O21</f>
        <v>239862</v>
      </c>
      <c r="E14" s="280">
        <f t="shared" si="8"/>
        <v>571118</v>
      </c>
      <c r="F14" s="252"/>
      <c r="G14" s="253"/>
      <c r="H14" s="253"/>
      <c r="I14" s="251"/>
      <c r="J14" s="269"/>
      <c r="K14" s="270"/>
      <c r="L14" s="270"/>
      <c r="M14" s="271"/>
      <c r="N14" s="123"/>
      <c r="O14" s="124"/>
      <c r="P14" s="107"/>
      <c r="Q14" s="107"/>
      <c r="R14" s="107"/>
    </row>
    <row r="15" spans="1:19" ht="15.6" x14ac:dyDescent="0.3">
      <c r="A15" s="125" t="s">
        <v>16</v>
      </c>
      <c r="B15" s="249">
        <f>UNIV_LIMA14!M22</f>
        <v>91460</v>
      </c>
      <c r="C15" s="250">
        <f>UNIV_LIMA14!N22</f>
        <v>239976</v>
      </c>
      <c r="D15" s="250">
        <f>UNIV_LIMA14!O22</f>
        <v>223684</v>
      </c>
      <c r="E15" s="280">
        <f>ROUND(B15+C15+D15,0)</f>
        <v>555120</v>
      </c>
      <c r="F15" s="252"/>
      <c r="G15" s="253"/>
      <c r="H15" s="253"/>
      <c r="I15" s="251"/>
      <c r="J15" s="269"/>
      <c r="K15" s="270"/>
      <c r="L15" s="270"/>
      <c r="M15" s="271"/>
      <c r="N15" s="123"/>
      <c r="O15" s="124"/>
      <c r="P15" s="107"/>
      <c r="Q15" s="107"/>
      <c r="R15" s="107"/>
    </row>
    <row r="16" spans="1:19" ht="15.6" x14ac:dyDescent="0.3">
      <c r="A16" s="113" t="s">
        <v>17</v>
      </c>
      <c r="B16" s="249">
        <f>B17+B18</f>
        <v>282386</v>
      </c>
      <c r="C16" s="250">
        <f t="shared" ref="C16:D16" si="11">C17+C18</f>
        <v>586632</v>
      </c>
      <c r="D16" s="250">
        <f t="shared" si="11"/>
        <v>569478</v>
      </c>
      <c r="E16" s="280">
        <f>ROUND(B16+C16+D16,0)</f>
        <v>1438496</v>
      </c>
      <c r="F16" s="249">
        <f>UNIV_CDES14!Q23</f>
        <v>65011.603387385869</v>
      </c>
      <c r="G16" s="250">
        <f>UNIV_CDES14!R23</f>
        <v>175271.20808337763</v>
      </c>
      <c r="H16" s="250">
        <f>UNIV_CDES14!S23</f>
        <v>289434.83896780532</v>
      </c>
      <c r="I16" s="251">
        <f t="shared" si="10"/>
        <v>529717.65043856879</v>
      </c>
      <c r="J16" s="266">
        <f>ROUNDUP(B16+F16,0)</f>
        <v>347398</v>
      </c>
      <c r="K16" s="267">
        <f t="shared" si="3"/>
        <v>761903.20808337769</v>
      </c>
      <c r="L16" s="267">
        <f t="shared" si="5"/>
        <v>858912.83896780526</v>
      </c>
      <c r="M16" s="268">
        <f t="shared" si="6"/>
        <v>1968213.6504385688</v>
      </c>
      <c r="N16" s="123"/>
      <c r="O16" s="124"/>
      <c r="P16" s="107"/>
      <c r="Q16" s="107"/>
      <c r="R16" s="107"/>
    </row>
    <row r="17" spans="1:18" ht="15.6" x14ac:dyDescent="0.3">
      <c r="A17" s="125" t="s">
        <v>18</v>
      </c>
      <c r="B17" s="249">
        <f>ROUND(UNIV_LIMA14!M24,0)</f>
        <v>139112</v>
      </c>
      <c r="C17" s="250">
        <f>UNIV_LIMA14!N24</f>
        <v>301945</v>
      </c>
      <c r="D17" s="250">
        <f>UNIV_LIMA14!O24</f>
        <v>282915</v>
      </c>
      <c r="E17" s="280">
        <f>ROUNDUP(B17+C17+D17,0)</f>
        <v>723972</v>
      </c>
      <c r="F17" s="252"/>
      <c r="G17" s="253"/>
      <c r="H17" s="253"/>
      <c r="I17" s="251"/>
      <c r="J17" s="269"/>
      <c r="K17" s="270"/>
      <c r="L17" s="270"/>
      <c r="M17" s="271"/>
      <c r="N17" s="123"/>
      <c r="O17" s="124"/>
      <c r="P17" s="107"/>
      <c r="Q17" s="107"/>
      <c r="R17" s="107"/>
    </row>
    <row r="18" spans="1:18" ht="15.6" x14ac:dyDescent="0.3">
      <c r="A18" s="125" t="s">
        <v>19</v>
      </c>
      <c r="B18" s="249">
        <f>UNIV_LIMA14!M25</f>
        <v>143274</v>
      </c>
      <c r="C18" s="250">
        <f>UNIV_LIMA14!N25</f>
        <v>284687</v>
      </c>
      <c r="D18" s="250">
        <f>UNIV_LIMA14!O25</f>
        <v>286563</v>
      </c>
      <c r="E18" s="280">
        <f t="shared" si="8"/>
        <v>714524</v>
      </c>
      <c r="F18" s="252"/>
      <c r="G18" s="253"/>
      <c r="H18" s="253"/>
      <c r="I18" s="251"/>
      <c r="J18" s="269"/>
      <c r="K18" s="270"/>
      <c r="L18" s="270"/>
      <c r="M18" s="271"/>
      <c r="N18" s="123"/>
      <c r="O18" s="124"/>
      <c r="P18" s="107"/>
      <c r="Q18" s="107"/>
      <c r="R18" s="107"/>
    </row>
    <row r="19" spans="1:18" ht="15.6" x14ac:dyDescent="0.3">
      <c r="A19" s="113" t="s">
        <v>20</v>
      </c>
      <c r="B19" s="249">
        <f>B20+B21</f>
        <v>361720</v>
      </c>
      <c r="C19" s="250">
        <f t="shared" ref="C19" si="12">C20+C21</f>
        <v>711131</v>
      </c>
      <c r="D19" s="250">
        <f>ROUNDDOWN(D20+D21,0)</f>
        <v>775885</v>
      </c>
      <c r="E19" s="280">
        <f>ROUND(B19+C19+D19,0)</f>
        <v>1848736</v>
      </c>
      <c r="F19" s="249">
        <f>UNIV_CDES14!Q26</f>
        <v>79437.907632039161</v>
      </c>
      <c r="G19" s="250">
        <f>UNIV_CDES14!R26</f>
        <v>214153.30539827765</v>
      </c>
      <c r="H19" s="250">
        <f>UNIV_CDES14!S26</f>
        <v>354418.22311317699</v>
      </c>
      <c r="I19" s="251">
        <f t="shared" si="10"/>
        <v>648009.43614349375</v>
      </c>
      <c r="J19" s="266">
        <f t="shared" si="4"/>
        <v>441157.90763203916</v>
      </c>
      <c r="K19" s="267">
        <f t="shared" si="3"/>
        <v>925284.30539827771</v>
      </c>
      <c r="L19" s="267">
        <f t="shared" si="5"/>
        <v>1130303.2231131769</v>
      </c>
      <c r="M19" s="268">
        <f t="shared" si="6"/>
        <v>2496745.4361434937</v>
      </c>
      <c r="N19" s="123"/>
      <c r="O19" s="124"/>
      <c r="P19" s="107"/>
      <c r="Q19" s="107"/>
      <c r="R19" s="107"/>
    </row>
    <row r="20" spans="1:18" ht="15.6" x14ac:dyDescent="0.3">
      <c r="A20" s="125" t="s">
        <v>21</v>
      </c>
      <c r="B20" s="249">
        <f>UNIV_LIMA14!M27</f>
        <v>167415</v>
      </c>
      <c r="C20" s="250">
        <f>ROUNDUP(UNIV_LIMA14!N27,0)</f>
        <v>318415</v>
      </c>
      <c r="D20" s="250">
        <f>UNIV_LIMA14!O27</f>
        <v>389667</v>
      </c>
      <c r="E20" s="280">
        <f t="shared" si="8"/>
        <v>875497</v>
      </c>
      <c r="F20" s="252"/>
      <c r="G20" s="253"/>
      <c r="H20" s="253"/>
      <c r="I20" s="251"/>
      <c r="J20" s="269"/>
      <c r="K20" s="270"/>
      <c r="L20" s="270"/>
      <c r="M20" s="271"/>
      <c r="N20" s="123"/>
      <c r="O20" s="124"/>
      <c r="P20" s="107"/>
      <c r="Q20" s="107"/>
      <c r="R20" s="107"/>
    </row>
    <row r="21" spans="1:18" ht="15.6" x14ac:dyDescent="0.3">
      <c r="A21" s="125" t="s">
        <v>22</v>
      </c>
      <c r="B21" s="249">
        <f>UNIV_LIMA14!M28</f>
        <v>194305</v>
      </c>
      <c r="C21" s="250">
        <f>UNIV_LIMA14!N28</f>
        <v>392716</v>
      </c>
      <c r="D21" s="250">
        <f>UNIV_LIMA14!O28</f>
        <v>386218</v>
      </c>
      <c r="E21" s="280">
        <f t="shared" si="8"/>
        <v>973239</v>
      </c>
      <c r="F21" s="252"/>
      <c r="G21" s="253"/>
      <c r="H21" s="253"/>
      <c r="I21" s="251"/>
      <c r="J21" s="269"/>
      <c r="K21" s="270"/>
      <c r="L21" s="270"/>
      <c r="M21" s="271"/>
      <c r="N21" s="123"/>
      <c r="O21" s="124"/>
      <c r="P21" s="107"/>
      <c r="Q21" s="107"/>
      <c r="R21" s="107"/>
    </row>
    <row r="22" spans="1:18" ht="15.6" x14ac:dyDescent="0.3">
      <c r="A22" s="113" t="s">
        <v>23</v>
      </c>
      <c r="B22" s="249">
        <f>B23+B24</f>
        <v>351894</v>
      </c>
      <c r="C22" s="250">
        <f>C23+C24</f>
        <v>624585</v>
      </c>
      <c r="D22" s="250">
        <f>D23+D24</f>
        <v>525971</v>
      </c>
      <c r="E22" s="280">
        <f>ROUNDDOWN(B22+C22+D22,0)</f>
        <v>1502450</v>
      </c>
      <c r="F22" s="249">
        <f>UNIV_CDES14!Q29</f>
        <v>77933.240112285159</v>
      </c>
      <c r="G22" s="250">
        <f>UNIV_CDES14!R29</f>
        <v>181470.97567871382</v>
      </c>
      <c r="H22" s="250">
        <f>UNIV_CDES14!S29</f>
        <v>237914.64342621027</v>
      </c>
      <c r="I22" s="251">
        <f t="shared" si="10"/>
        <v>497318.85921720928</v>
      </c>
      <c r="J22" s="266">
        <f>ROUNDDOWN(B22+F22,0)</f>
        <v>429827</v>
      </c>
      <c r="K22" s="267">
        <f t="shared" si="3"/>
        <v>806055.97567871376</v>
      </c>
      <c r="L22" s="267">
        <f t="shared" si="5"/>
        <v>763885.64342621027</v>
      </c>
      <c r="M22" s="268">
        <f t="shared" si="6"/>
        <v>1999768.8592172093</v>
      </c>
      <c r="N22" s="123"/>
      <c r="O22" s="124"/>
      <c r="P22" s="107"/>
      <c r="Q22" s="107"/>
      <c r="R22" s="107"/>
    </row>
    <row r="23" spans="1:18" ht="15.6" x14ac:dyDescent="0.3">
      <c r="A23" s="125" t="s">
        <v>24</v>
      </c>
      <c r="B23" s="249">
        <f>UNIV_LIMA14!M30</f>
        <v>152316</v>
      </c>
      <c r="C23" s="250">
        <f>UNIV_LIMA14!N30</f>
        <v>299002</v>
      </c>
      <c r="D23" s="250">
        <f>UNIV_LIMA14!O30</f>
        <v>244603</v>
      </c>
      <c r="E23" s="280">
        <f t="shared" si="8"/>
        <v>695921</v>
      </c>
      <c r="F23" s="252"/>
      <c r="G23" s="253"/>
      <c r="H23" s="253"/>
      <c r="I23" s="251"/>
      <c r="J23" s="269"/>
      <c r="K23" s="270"/>
      <c r="L23" s="270"/>
      <c r="M23" s="271"/>
      <c r="N23" s="123"/>
      <c r="O23" s="124"/>
      <c r="P23" s="107"/>
      <c r="Q23" s="107"/>
      <c r="R23" s="107"/>
    </row>
    <row r="24" spans="1:18" ht="15.6" x14ac:dyDescent="0.3">
      <c r="A24" s="125" t="s">
        <v>25</v>
      </c>
      <c r="B24" s="249">
        <f>UNIV_LIMA14!M31</f>
        <v>199578</v>
      </c>
      <c r="C24" s="250">
        <f>UNIV_LIMA14!N31</f>
        <v>325583</v>
      </c>
      <c r="D24" s="250">
        <f>UNIV_LIMA14!O31</f>
        <v>281368</v>
      </c>
      <c r="E24" s="280">
        <f>ROUNDDOWN(B24+C24+D24,0)</f>
        <v>806529</v>
      </c>
      <c r="F24" s="252"/>
      <c r="G24" s="253"/>
      <c r="H24" s="253"/>
      <c r="I24" s="251"/>
      <c r="J24" s="269"/>
      <c r="K24" s="270"/>
      <c r="L24" s="270"/>
      <c r="M24" s="271"/>
      <c r="N24" s="123"/>
      <c r="O24" s="124"/>
      <c r="P24" s="107"/>
      <c r="Q24" s="107"/>
      <c r="R24" s="107"/>
    </row>
    <row r="25" spans="1:18" ht="15.6" x14ac:dyDescent="0.3">
      <c r="A25" s="113" t="s">
        <v>26</v>
      </c>
      <c r="B25" s="249">
        <f>ROUNDUP(B26+B27,0)</f>
        <v>569634</v>
      </c>
      <c r="C25" s="250">
        <f>ROUNDDOWN(C26+C27,0)</f>
        <v>833352</v>
      </c>
      <c r="D25" s="250">
        <f>ROUNDUP(D26+D27,0)</f>
        <v>544654</v>
      </c>
      <c r="E25" s="280">
        <f>ROUND(B25+C25+D25,0)</f>
        <v>1947640</v>
      </c>
      <c r="F25" s="249">
        <f>ROUNDDOWN(UNIV_CDES14!Q32,0)</f>
        <v>98823</v>
      </c>
      <c r="G25" s="250">
        <f>UNIV_CDES14!R32</f>
        <v>241254.12826804823</v>
      </c>
      <c r="H25" s="250">
        <f>UNIV_CDES14!S32</f>
        <v>290931.20263863733</v>
      </c>
      <c r="I25" s="251">
        <f t="shared" si="10"/>
        <v>631008.33090668556</v>
      </c>
      <c r="J25" s="266">
        <f t="shared" si="4"/>
        <v>668457</v>
      </c>
      <c r="K25" s="267">
        <f t="shared" si="3"/>
        <v>1074606.1282680482</v>
      </c>
      <c r="L25" s="267">
        <f t="shared" si="5"/>
        <v>835585.20263863727</v>
      </c>
      <c r="M25" s="268">
        <f t="shared" si="6"/>
        <v>2578648.3309066854</v>
      </c>
      <c r="N25" s="123"/>
      <c r="O25" s="124"/>
      <c r="P25" s="107"/>
      <c r="Q25" s="107"/>
      <c r="R25" s="107"/>
    </row>
    <row r="26" spans="1:18" ht="15.6" x14ac:dyDescent="0.3">
      <c r="A26" s="125" t="s">
        <v>27</v>
      </c>
      <c r="B26" s="249">
        <f>UNIV_LIMA14!M33</f>
        <v>252955</v>
      </c>
      <c r="C26" s="250">
        <f>UNIV_LIMA14!N33</f>
        <v>386507</v>
      </c>
      <c r="D26" s="250">
        <f>UNIV_LIMA14!O33</f>
        <v>275970</v>
      </c>
      <c r="E26" s="280">
        <f t="shared" si="8"/>
        <v>915432</v>
      </c>
      <c r="F26" s="252"/>
      <c r="G26" s="253"/>
      <c r="H26" s="253"/>
      <c r="I26" s="251"/>
      <c r="J26" s="269"/>
      <c r="K26" s="270"/>
      <c r="L26" s="270"/>
      <c r="M26" s="271"/>
      <c r="N26" s="123"/>
      <c r="O26" s="124"/>
      <c r="P26" s="107"/>
      <c r="Q26" s="107"/>
      <c r="R26" s="107"/>
    </row>
    <row r="27" spans="1:18" ht="15.6" x14ac:dyDescent="0.3">
      <c r="A27" s="125" t="s">
        <v>28</v>
      </c>
      <c r="B27" s="249">
        <f>UNIV_LIMA14!M34</f>
        <v>316679</v>
      </c>
      <c r="C27" s="250">
        <f>UNIV_LIMA14!N34</f>
        <v>446845</v>
      </c>
      <c r="D27" s="250">
        <f>UNIV_LIMA14!O34</f>
        <v>268684</v>
      </c>
      <c r="E27" s="280">
        <f t="shared" si="8"/>
        <v>1032208</v>
      </c>
      <c r="F27" s="252"/>
      <c r="G27" s="253"/>
      <c r="H27" s="253"/>
      <c r="I27" s="251"/>
      <c r="J27" s="269"/>
      <c r="K27" s="270"/>
      <c r="L27" s="270"/>
      <c r="M27" s="271"/>
      <c r="N27" s="123"/>
      <c r="O27" s="124"/>
      <c r="P27" s="107"/>
      <c r="Q27" s="107"/>
      <c r="R27" s="107"/>
    </row>
    <row r="28" spans="1:18" ht="15.6" x14ac:dyDescent="0.3">
      <c r="A28" s="113" t="s">
        <v>29</v>
      </c>
      <c r="B28" s="249">
        <f>B4</f>
        <v>530377</v>
      </c>
      <c r="C28" s="250">
        <f>C4</f>
        <v>926760</v>
      </c>
      <c r="D28" s="250">
        <f>D4</f>
        <v>926200</v>
      </c>
      <c r="E28" s="280">
        <f t="shared" si="8"/>
        <v>2383337</v>
      </c>
      <c r="F28" s="249">
        <f>F4</f>
        <v>111047.47798300008</v>
      </c>
      <c r="G28" s="250">
        <f t="shared" ref="G28:H28" si="13">G4</f>
        <v>276412.56249899953</v>
      </c>
      <c r="H28" s="250">
        <f t="shared" si="13"/>
        <v>439678.17882299895</v>
      </c>
      <c r="I28" s="251">
        <f t="shared" si="10"/>
        <v>827138.21930499864</v>
      </c>
      <c r="J28" s="266">
        <f>ROUNDDOWN(B28+F28,0)</f>
        <v>641424</v>
      </c>
      <c r="K28" s="267">
        <f>ROUNDUP(C28+G28,0)</f>
        <v>1203173</v>
      </c>
      <c r="L28" s="267">
        <f>ROUNDDOWN(D28+H28,0)</f>
        <v>1365878</v>
      </c>
      <c r="M28" s="268">
        <f>ROUNDDOWN(E28+I28,0)</f>
        <v>3210475</v>
      </c>
      <c r="N28" s="114">
        <f>N4</f>
        <v>401032.32915299671</v>
      </c>
      <c r="O28" s="126">
        <f>O4</f>
        <v>426105.89015201252</v>
      </c>
      <c r="P28" s="107"/>
      <c r="Q28" s="107"/>
      <c r="R28" s="107"/>
    </row>
    <row r="29" spans="1:18" ht="16.2" thickBot="1" x14ac:dyDescent="0.35">
      <c r="A29" s="113" t="s">
        <v>30</v>
      </c>
      <c r="B29" s="249">
        <f>B28</f>
        <v>530377</v>
      </c>
      <c r="C29" s="250">
        <f>C28</f>
        <v>926760</v>
      </c>
      <c r="D29" s="250">
        <f>D28</f>
        <v>926200</v>
      </c>
      <c r="E29" s="280">
        <f t="shared" si="8"/>
        <v>2383337</v>
      </c>
      <c r="F29" s="249">
        <f>F28</f>
        <v>111047.47798300008</v>
      </c>
      <c r="G29" s="250">
        <f t="shared" ref="G29:H29" si="14">G28</f>
        <v>276412.56249899953</v>
      </c>
      <c r="H29" s="250">
        <f t="shared" si="14"/>
        <v>439678.17882299895</v>
      </c>
      <c r="I29" s="251">
        <f t="shared" si="10"/>
        <v>827138.21930499864</v>
      </c>
      <c r="J29" s="266">
        <f>ROUNDDOWN(B29+F29,0)</f>
        <v>641424</v>
      </c>
      <c r="K29" s="267">
        <f>ROUNDUP(C29+G29,0)</f>
        <v>1203173</v>
      </c>
      <c r="L29" s="267">
        <f>ROUNDDOWN(D29+H29,0)</f>
        <v>1365878</v>
      </c>
      <c r="M29" s="268">
        <f>ROUNDDOWN(E29+I29,0)</f>
        <v>3210475</v>
      </c>
      <c r="N29" s="114">
        <f>N4</f>
        <v>401032.32915299671</v>
      </c>
      <c r="O29" s="126">
        <f>O4</f>
        <v>426105.89015201252</v>
      </c>
      <c r="P29" s="107"/>
      <c r="Q29" s="107"/>
      <c r="R29" s="107"/>
    </row>
    <row r="30" spans="1:18" ht="10.5" customHeight="1" thickBot="1" x14ac:dyDescent="0.35">
      <c r="A30" s="108"/>
      <c r="B30" s="281"/>
      <c r="C30" s="282"/>
      <c r="D30" s="282"/>
      <c r="E30" s="283"/>
      <c r="F30" s="254"/>
      <c r="G30" s="255"/>
      <c r="H30" s="255"/>
      <c r="I30" s="256"/>
      <c r="J30" s="272"/>
      <c r="K30" s="273"/>
      <c r="L30" s="273"/>
      <c r="M30" s="274"/>
      <c r="N30" s="109"/>
      <c r="O30" s="110"/>
      <c r="P30" s="107"/>
      <c r="Q30" s="107"/>
      <c r="R30" s="107"/>
    </row>
    <row r="31" spans="1:18" ht="16.2" thickBot="1" x14ac:dyDescent="0.35">
      <c r="A31" s="127" t="s">
        <v>31</v>
      </c>
      <c r="B31" s="246">
        <f>UNIV_LIMA14!M37</f>
        <v>853836</v>
      </c>
      <c r="C31" s="247">
        <f>UNIV_LIMA14!N37</f>
        <v>1449831</v>
      </c>
      <c r="D31" s="247">
        <f>ROUNDDOWN(UNIV_LIMA14!O37,0)</f>
        <v>1222833</v>
      </c>
      <c r="E31" s="279">
        <f>B31+C31+D31</f>
        <v>3526500</v>
      </c>
      <c r="F31" s="246">
        <f>UNIV_CDES14!Q37</f>
        <v>165443</v>
      </c>
      <c r="G31" s="247">
        <f>UNIV_CDES14!R37</f>
        <v>432794</v>
      </c>
      <c r="H31" s="247">
        <f>UNIV_CDES14!S37</f>
        <v>609753.64235629304</v>
      </c>
      <c r="I31" s="248">
        <f>SUM(F31:H31)</f>
        <v>1207990.642356293</v>
      </c>
      <c r="J31" s="263">
        <f t="shared" ref="J31:J32" si="15">B31+F31</f>
        <v>1019279</v>
      </c>
      <c r="K31" s="264">
        <f t="shared" ref="K31:K33" si="16">C31+G31</f>
        <v>1882625</v>
      </c>
      <c r="L31" s="264">
        <f t="shared" ref="L31:L33" si="17">D31+H31</f>
        <v>1832586.642356293</v>
      </c>
      <c r="M31" s="265">
        <f t="shared" ref="M31:M33" si="18">E31+I31</f>
        <v>4734490.6423562933</v>
      </c>
      <c r="N31" s="128"/>
      <c r="O31" s="129"/>
      <c r="P31" s="107"/>
      <c r="Q31" s="107"/>
      <c r="R31" s="107"/>
    </row>
    <row r="32" spans="1:18" ht="16.2" thickBot="1" x14ac:dyDescent="0.35">
      <c r="A32" s="127" t="s">
        <v>32</v>
      </c>
      <c r="B32" s="246">
        <f>ROUNDDOWN(UNIV_LIMA14!M36,0)</f>
        <v>711798</v>
      </c>
      <c r="C32" s="247">
        <f>UNIV_LIMA14!N36</f>
        <v>1305869</v>
      </c>
      <c r="D32" s="247">
        <f>ROUNDUP(UNIV_LIMA14!O36,0)</f>
        <v>1193155</v>
      </c>
      <c r="E32" s="279">
        <f>B32+C32+D32</f>
        <v>3210822</v>
      </c>
      <c r="F32" s="246">
        <f>UNIV_CDES14!Q36</f>
        <v>155762.52353181911</v>
      </c>
      <c r="G32" s="247">
        <f>UNIV_CDES14!R36</f>
        <v>379355.05804110365</v>
      </c>
      <c r="H32" s="247">
        <f>UNIV_CDES14!S36</f>
        <v>562945.26578953699</v>
      </c>
      <c r="I32" s="248">
        <f>SUM(F32:H32)</f>
        <v>1098062.8473624596</v>
      </c>
      <c r="J32" s="263">
        <f t="shared" si="15"/>
        <v>867560.52353181911</v>
      </c>
      <c r="K32" s="264">
        <f t="shared" si="16"/>
        <v>1685224.0580411036</v>
      </c>
      <c r="L32" s="264">
        <f t="shared" si="17"/>
        <v>1756100.265789537</v>
      </c>
      <c r="M32" s="265">
        <f t="shared" si="18"/>
        <v>4308884.8473624596</v>
      </c>
      <c r="N32" s="128"/>
      <c r="O32" s="129"/>
      <c r="P32" s="107"/>
      <c r="Q32" s="107"/>
      <c r="R32" s="107"/>
    </row>
    <row r="33" spans="1:18" ht="16.2" thickBot="1" x14ac:dyDescent="0.35">
      <c r="A33" s="127" t="s">
        <v>33</v>
      </c>
      <c r="B33" s="257">
        <f>B32+B31</f>
        <v>1565634</v>
      </c>
      <c r="C33" s="258">
        <f t="shared" ref="C33:D33" si="19">C32+C31</f>
        <v>2755700</v>
      </c>
      <c r="D33" s="258">
        <f t="shared" si="19"/>
        <v>2415988</v>
      </c>
      <c r="E33" s="284">
        <f>B33+C33+D33</f>
        <v>6737322</v>
      </c>
      <c r="F33" s="257">
        <f>SUM(F31:F32)</f>
        <v>321205.52353181911</v>
      </c>
      <c r="G33" s="258">
        <f>SUM(G31:G32)</f>
        <v>812149.05804110365</v>
      </c>
      <c r="H33" s="258">
        <f t="shared" ref="H33" si="20">SUM(H31:H32)</f>
        <v>1172698.90814583</v>
      </c>
      <c r="I33" s="259">
        <f>ROUNDUP(SUM(F33:H33),0)</f>
        <v>2306054</v>
      </c>
      <c r="J33" s="275">
        <f>ROUNDUP(B33+F33,0)</f>
        <v>1886840</v>
      </c>
      <c r="K33" s="276">
        <f t="shared" si="16"/>
        <v>3567849.0580411036</v>
      </c>
      <c r="L33" s="276">
        <f t="shared" si="17"/>
        <v>3588686.90814583</v>
      </c>
      <c r="M33" s="277">
        <f t="shared" si="18"/>
        <v>9043376</v>
      </c>
      <c r="N33" s="128"/>
      <c r="O33" s="129"/>
      <c r="P33" s="107"/>
      <c r="Q33" s="107"/>
      <c r="R33" s="107"/>
    </row>
    <row r="34" spans="1:18" x14ac:dyDescent="0.3">
      <c r="B34" s="111"/>
      <c r="E34" s="105">
        <f>+(E33-'2013'!E33)/'2013'!E33</f>
        <v>2.415348342993693E-2</v>
      </c>
    </row>
    <row r="35" spans="1:18" x14ac:dyDescent="0.3">
      <c r="B35" s="111"/>
      <c r="C35" s="111"/>
      <c r="D35" s="111"/>
      <c r="E35" s="111"/>
      <c r="F35" s="111"/>
      <c r="G35" s="111"/>
      <c r="H35" s="111"/>
      <c r="I35" s="111"/>
      <c r="J35" s="111"/>
      <c r="K35" s="111"/>
      <c r="L35" s="111"/>
      <c r="M35" s="111"/>
      <c r="N35" s="111"/>
      <c r="O35" s="111"/>
    </row>
    <row r="36" spans="1:18" x14ac:dyDescent="0.3">
      <c r="B36" s="111"/>
      <c r="C36" s="111"/>
      <c r="D36" s="169"/>
      <c r="E36" s="111"/>
      <c r="F36" s="111"/>
      <c r="G36" s="111"/>
      <c r="H36" s="111"/>
      <c r="I36" s="111"/>
      <c r="J36" s="111"/>
      <c r="K36" s="111"/>
      <c r="L36" s="111"/>
      <c r="M36" s="111"/>
    </row>
  </sheetData>
  <mergeCells count="4">
    <mergeCell ref="B2:E2"/>
    <mergeCell ref="F2:I2"/>
    <mergeCell ref="J2:M2"/>
    <mergeCell ref="B1:O1"/>
  </mergeCells>
  <pageMargins left="0.7" right="0.7" top="0.75" bottom="0.75" header="0.3" footer="0.3"/>
  <pageSetup paperSize="9" scale="72" orientation="landscape" r:id="rId1"/>
  <colBreaks count="1" manualBreakCount="1">
    <brk id="15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36"/>
  <sheetViews>
    <sheetView zoomScale="120" zoomScaleNormal="12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Q13" sqref="Q13"/>
    </sheetView>
  </sheetViews>
  <sheetFormatPr baseColWidth="10" defaultRowHeight="14.4" x14ac:dyDescent="0.3"/>
  <cols>
    <col min="1" max="1" width="25.6640625" customWidth="1"/>
    <col min="2" max="5" width="10.5546875" bestFit="1" customWidth="1"/>
    <col min="6" max="6" width="8.88671875" bestFit="1" customWidth="1"/>
    <col min="7" max="12" width="10.5546875" bestFit="1" customWidth="1"/>
    <col min="13" max="13" width="11.88671875" bestFit="1" customWidth="1"/>
    <col min="14" max="15" width="10.5546875" bestFit="1" customWidth="1"/>
  </cols>
  <sheetData>
    <row r="1" spans="1:18" ht="16.5" customHeight="1" thickBot="1" x14ac:dyDescent="0.35">
      <c r="A1" s="106"/>
      <c r="B1" s="988" t="s">
        <v>0</v>
      </c>
      <c r="C1" s="989"/>
      <c r="D1" s="989"/>
      <c r="E1" s="990"/>
      <c r="F1" s="991" t="s">
        <v>1</v>
      </c>
      <c r="G1" s="992"/>
      <c r="H1" s="992"/>
      <c r="I1" s="993"/>
      <c r="J1" s="994" t="s">
        <v>2</v>
      </c>
      <c r="K1" s="995"/>
      <c r="L1" s="995"/>
      <c r="M1" s="996"/>
      <c r="N1" s="407" t="s">
        <v>3</v>
      </c>
      <c r="O1" s="408" t="s">
        <v>4</v>
      </c>
    </row>
    <row r="2" spans="1:18" ht="16.2" thickBot="1" x14ac:dyDescent="0.35">
      <c r="A2" s="112"/>
      <c r="B2" s="329" t="s">
        <v>5</v>
      </c>
      <c r="C2" s="330" t="s">
        <v>6</v>
      </c>
      <c r="D2" s="330" t="s">
        <v>7</v>
      </c>
      <c r="E2" s="331" t="s">
        <v>8</v>
      </c>
      <c r="F2" s="353" t="s">
        <v>5</v>
      </c>
      <c r="G2" s="354" t="s">
        <v>6</v>
      </c>
      <c r="H2" s="354" t="s">
        <v>7</v>
      </c>
      <c r="I2" s="355" t="s">
        <v>8</v>
      </c>
      <c r="J2" s="329" t="s">
        <v>5</v>
      </c>
      <c r="K2" s="330" t="s">
        <v>6</v>
      </c>
      <c r="L2" s="330" t="s">
        <v>7</v>
      </c>
      <c r="M2" s="406" t="s">
        <v>8</v>
      </c>
      <c r="N2" s="329" t="s">
        <v>8</v>
      </c>
      <c r="O2" s="331" t="s">
        <v>8</v>
      </c>
    </row>
    <row r="3" spans="1:18" ht="15.75" customHeight="1" thickBot="1" x14ac:dyDescent="0.35">
      <c r="A3" s="115" t="s">
        <v>132</v>
      </c>
      <c r="B3" s="332">
        <f>UNI_LIM_15!B5</f>
        <v>598490.24979812466</v>
      </c>
      <c r="C3" s="332">
        <f>UNI_LIM_15!C5</f>
        <v>964639.90287129371</v>
      </c>
      <c r="D3" s="332">
        <f>UNI_LIM_15!D5</f>
        <v>952207.90215033898</v>
      </c>
      <c r="E3" s="348">
        <f>D3+C3+B3</f>
        <v>2515338.0548197571</v>
      </c>
      <c r="F3" s="356">
        <f>UNI_CDS_15!B5</f>
        <v>144978</v>
      </c>
      <c r="G3" s="356">
        <f>UNI_CDS_15!C5</f>
        <v>319340</v>
      </c>
      <c r="H3" s="356">
        <f>UNI_CDS_15!D5</f>
        <v>399794</v>
      </c>
      <c r="I3" s="357">
        <f>F3+G3+H3</f>
        <v>864112</v>
      </c>
      <c r="J3" s="344">
        <f>B3+F3</f>
        <v>743468.24979812466</v>
      </c>
      <c r="K3" s="344">
        <f t="shared" ref="K3:M3" si="0">C3+G3</f>
        <v>1283979.9028712937</v>
      </c>
      <c r="L3" s="344">
        <f t="shared" si="0"/>
        <v>1352001.902150339</v>
      </c>
      <c r="M3" s="344">
        <f t="shared" si="0"/>
        <v>3379450.0548197571</v>
      </c>
      <c r="N3" s="332">
        <f>UNI_CDS_15!F5</f>
        <v>439328.52150365105</v>
      </c>
      <c r="O3" s="332">
        <f>UNI_CDS_15!G5</f>
        <v>424783.39724953473</v>
      </c>
    </row>
    <row r="4" spans="1:18" ht="15.6" x14ac:dyDescent="0.3">
      <c r="A4" s="115" t="s">
        <v>10</v>
      </c>
      <c r="B4" s="332">
        <f>UNI_LIM_15!B3</f>
        <v>553077.66697166092</v>
      </c>
      <c r="C4" s="332">
        <f>UNI_LIM_15!C3</f>
        <v>777799.16865556571</v>
      </c>
      <c r="D4" s="332">
        <f>UNI_LIM_15!D3</f>
        <v>507603.93238150072</v>
      </c>
      <c r="E4" s="348">
        <f>D4+C4+B4</f>
        <v>1838480.7680087273</v>
      </c>
      <c r="F4" s="332">
        <f>UNI_CDS_15!B3</f>
        <v>118146</v>
      </c>
      <c r="G4" s="332">
        <f>UNI_CDS_15!C3</f>
        <v>158211</v>
      </c>
      <c r="H4" s="332">
        <f>UNI_CDS_15!D3</f>
        <v>69731</v>
      </c>
      <c r="I4" s="357">
        <f>F4+G4+H4</f>
        <v>346088</v>
      </c>
      <c r="J4" s="344">
        <f>B4+F4</f>
        <v>671223.66697166092</v>
      </c>
      <c r="K4" s="344">
        <f t="shared" ref="K4:K5" si="1">C4+G4</f>
        <v>936010.16865556571</v>
      </c>
      <c r="L4" s="344">
        <f t="shared" ref="L4:M5" si="2">D4+H4</f>
        <v>577334.93238150072</v>
      </c>
      <c r="M4" s="344">
        <f t="shared" ref="M4" si="3">E4+I4</f>
        <v>2184568.7680087276</v>
      </c>
      <c r="N4" s="332"/>
      <c r="O4" s="333"/>
    </row>
    <row r="5" spans="1:18" ht="15.6" x14ac:dyDescent="0.3">
      <c r="A5" s="118" t="s">
        <v>35</v>
      </c>
      <c r="B5" s="334">
        <f>UNI_LIM_15!B10</f>
        <v>2130271</v>
      </c>
      <c r="C5" s="334">
        <f>UNI_LIM_15!C10</f>
        <v>3768357</v>
      </c>
      <c r="D5" s="334">
        <f>UNI_LIM_15!D10</f>
        <v>3424083</v>
      </c>
      <c r="E5" s="349">
        <f>SUM(B5:D5)</f>
        <v>9322711</v>
      </c>
      <c r="F5" s="334">
        <f>UNI_CDS_15!B10</f>
        <v>552200</v>
      </c>
      <c r="G5" s="334">
        <f>UNI_CDS_15!C10</f>
        <v>1250289.0500064683</v>
      </c>
      <c r="H5" s="334">
        <f>UNI_CDS_15!D10</f>
        <v>1469906.1166061438</v>
      </c>
      <c r="I5" s="335">
        <f>F5+G5+H5</f>
        <v>3272395.1666126121</v>
      </c>
      <c r="J5" s="345">
        <f>B5+F5</f>
        <v>2682471</v>
      </c>
      <c r="K5" s="345">
        <f t="shared" si="1"/>
        <v>5018646.0500064678</v>
      </c>
      <c r="L5" s="345">
        <f t="shared" si="2"/>
        <v>4893989.1166061442</v>
      </c>
      <c r="M5" s="345">
        <f t="shared" si="2"/>
        <v>12595106.166612612</v>
      </c>
      <c r="N5" s="334">
        <f>UNI_CDS_15!F10</f>
        <v>1724549</v>
      </c>
      <c r="O5" s="334">
        <f>UNI_CDS_15!G10</f>
        <v>1547846</v>
      </c>
    </row>
    <row r="6" spans="1:18" ht="31.2" x14ac:dyDescent="0.3">
      <c r="A6" s="118" t="s">
        <v>148</v>
      </c>
      <c r="B6" s="334">
        <f>UNI_LIM_15!B11</f>
        <v>1979498</v>
      </c>
      <c r="C6" s="334">
        <f>UNI_LIM_15!C11</f>
        <v>3054052</v>
      </c>
      <c r="D6" s="334">
        <f>UNI_LIM_15!D11</f>
        <v>1834620.9313701927</v>
      </c>
      <c r="E6" s="349">
        <f t="shared" ref="E6:E8" si="4">SUM(B6:D6)</f>
        <v>6868170.9313701931</v>
      </c>
      <c r="F6" s="334"/>
      <c r="G6" s="334"/>
      <c r="H6" s="334"/>
      <c r="I6" s="335">
        <f>UNI_CDS_15!E11</f>
        <v>1337999.307168046</v>
      </c>
      <c r="J6" s="345"/>
      <c r="K6" s="345"/>
      <c r="L6" s="345"/>
      <c r="M6" s="345">
        <f t="shared" ref="M6:M9" si="5">E6+I6</f>
        <v>8206170.2385382392</v>
      </c>
      <c r="N6" s="409"/>
      <c r="O6" s="410"/>
    </row>
    <row r="7" spans="1:18" ht="15.6" x14ac:dyDescent="0.3">
      <c r="A7" s="118" t="s">
        <v>144</v>
      </c>
      <c r="B7" s="334">
        <f>UNI_LIM_15!B14</f>
        <v>1109047.1125647703</v>
      </c>
      <c r="C7" s="334">
        <f>UNI_LIM_15!C14</f>
        <v>1944842</v>
      </c>
      <c r="D7" s="334">
        <f>UNI_LIM_15!D14</f>
        <v>1740962</v>
      </c>
      <c r="E7" s="349">
        <f t="shared" si="4"/>
        <v>4794851.1125647705</v>
      </c>
      <c r="F7" s="334">
        <f>UNI_CDS_15!B14</f>
        <v>283679</v>
      </c>
      <c r="G7" s="334">
        <f>UNI_CDS_15!C14</f>
        <v>655158</v>
      </c>
      <c r="H7" s="334">
        <f>UNI_CDS_15!D14</f>
        <v>762401</v>
      </c>
      <c r="I7" s="334">
        <f>UNI_CDS_15!E14</f>
        <v>1701238</v>
      </c>
      <c r="J7" s="345">
        <f t="shared" ref="J7:J8" si="6">B7+F7</f>
        <v>1392726.1125647703</v>
      </c>
      <c r="K7" s="345">
        <f t="shared" ref="K7:K9" si="7">C7+G7</f>
        <v>2600000</v>
      </c>
      <c r="L7" s="345">
        <f t="shared" ref="L7:L9" si="8">D7+H7</f>
        <v>2503363</v>
      </c>
      <c r="M7" s="345">
        <f t="shared" si="5"/>
        <v>6496089.1125647705</v>
      </c>
      <c r="N7" s="334">
        <f>UNI_CDS_15!F14</f>
        <v>895414</v>
      </c>
      <c r="O7" s="334">
        <f>UNI_CDS_15!G14</f>
        <v>805824</v>
      </c>
      <c r="P7" s="38"/>
    </row>
    <row r="8" spans="1:18" ht="15.6" x14ac:dyDescent="0.3">
      <c r="A8" s="118" t="s">
        <v>145</v>
      </c>
      <c r="B8" s="334">
        <f>UNI_LIM_15!B15</f>
        <v>1021224</v>
      </c>
      <c r="C8" s="334">
        <f>UNI_LIM_15!C15</f>
        <v>1823515</v>
      </c>
      <c r="D8" s="334">
        <f>UNI_LIM_15!D15</f>
        <v>1683121</v>
      </c>
      <c r="E8" s="349">
        <f t="shared" si="4"/>
        <v>4527860</v>
      </c>
      <c r="F8" s="334">
        <f>UNI_CDS_15!B15</f>
        <v>268521</v>
      </c>
      <c r="G8" s="334">
        <f>UNI_CDS_15!C15</f>
        <v>595131</v>
      </c>
      <c r="H8" s="334">
        <f>UNI_CDS_15!D15</f>
        <v>707505</v>
      </c>
      <c r="I8" s="334">
        <f>UNI_CDS_15!E15</f>
        <v>1571157</v>
      </c>
      <c r="J8" s="345">
        <f t="shared" si="6"/>
        <v>1289745</v>
      </c>
      <c r="K8" s="345">
        <f t="shared" si="7"/>
        <v>2418646</v>
      </c>
      <c r="L8" s="345">
        <f t="shared" si="8"/>
        <v>2390626</v>
      </c>
      <c r="M8" s="345">
        <f t="shared" si="5"/>
        <v>6099017</v>
      </c>
      <c r="N8" s="334">
        <f>UNI_CDS_15!F15</f>
        <v>829135</v>
      </c>
      <c r="O8" s="334">
        <f>UNI_CDS_15!G15</f>
        <v>742022</v>
      </c>
    </row>
    <row r="9" spans="1:18" ht="15.6" x14ac:dyDescent="0.3">
      <c r="A9" s="113" t="s">
        <v>34</v>
      </c>
      <c r="B9" s="336">
        <f>UNI_LIM_15!B17</f>
        <v>235712</v>
      </c>
      <c r="C9" s="336">
        <f>UNI_LIM_15!C17</f>
        <v>516829</v>
      </c>
      <c r="D9" s="336">
        <f>UNI_LIM_15!D17</f>
        <v>598367</v>
      </c>
      <c r="E9" s="350">
        <f>SUM(B9:D9)</f>
        <v>1350908</v>
      </c>
      <c r="F9" s="336">
        <f>UNI_CDS_15!B17</f>
        <v>61931</v>
      </c>
      <c r="G9" s="336">
        <f>UNI_CDS_15!C17</f>
        <v>173289</v>
      </c>
      <c r="H9" s="336">
        <f>UNI_CDS_15!D17</f>
        <v>247252</v>
      </c>
      <c r="I9" s="337">
        <f>SUM(F9:H9)</f>
        <v>482472</v>
      </c>
      <c r="J9" s="346">
        <f>B9+F9</f>
        <v>297643</v>
      </c>
      <c r="K9" s="346">
        <f t="shared" si="7"/>
        <v>690118</v>
      </c>
      <c r="L9" s="346">
        <f t="shared" si="8"/>
        <v>845619</v>
      </c>
      <c r="M9" s="346">
        <f t="shared" si="5"/>
        <v>1833380</v>
      </c>
      <c r="N9" s="336"/>
      <c r="O9" s="337"/>
    </row>
    <row r="10" spans="1:18" ht="15.6" x14ac:dyDescent="0.3">
      <c r="A10" s="327" t="s">
        <v>36</v>
      </c>
      <c r="B10" s="338">
        <f>UNI_LIM_15!B18</f>
        <v>117272</v>
      </c>
      <c r="C10" s="338">
        <f>UNI_LIM_15!C18</f>
        <v>257095</v>
      </c>
      <c r="D10" s="338">
        <f>UNI_LIM_15!D18</f>
        <v>297607</v>
      </c>
      <c r="E10" s="351">
        <f t="shared" ref="E10:E28" si="9">SUM(B10:D10)</f>
        <v>671974</v>
      </c>
      <c r="F10" s="338"/>
      <c r="G10" s="338"/>
      <c r="H10" s="338"/>
      <c r="I10" s="339"/>
      <c r="J10" s="346"/>
      <c r="K10" s="346"/>
      <c r="L10" s="346"/>
      <c r="M10" s="346"/>
      <c r="N10" s="338"/>
      <c r="O10" s="339"/>
      <c r="P10" s="772"/>
      <c r="Q10" s="772"/>
      <c r="R10" s="772"/>
    </row>
    <row r="11" spans="1:18" ht="15.6" x14ac:dyDescent="0.3">
      <c r="A11" s="327" t="s">
        <v>37</v>
      </c>
      <c r="B11" s="338">
        <f>UNI_LIM_15!B19</f>
        <v>118440</v>
      </c>
      <c r="C11" s="338">
        <f>UNI_LIM_15!C19</f>
        <v>259734</v>
      </c>
      <c r="D11" s="338">
        <f>UNI_LIM_15!D19</f>
        <v>300760</v>
      </c>
      <c r="E11" s="351">
        <f t="shared" si="9"/>
        <v>678934</v>
      </c>
      <c r="F11" s="338"/>
      <c r="G11" s="338"/>
      <c r="H11" s="338"/>
      <c r="I11" s="339"/>
      <c r="J11" s="346"/>
      <c r="K11" s="346"/>
      <c r="L11" s="346"/>
      <c r="M11" s="346"/>
      <c r="N11" s="338"/>
      <c r="O11" s="339"/>
    </row>
    <row r="12" spans="1:18" ht="15.6" x14ac:dyDescent="0.3">
      <c r="A12" s="113" t="s">
        <v>14</v>
      </c>
      <c r="B12" s="336">
        <f>UNI_LIM_15!B20</f>
        <v>189859</v>
      </c>
      <c r="C12" s="336">
        <f>UNI_LIM_15!C20</f>
        <v>435261</v>
      </c>
      <c r="D12" s="336">
        <f>UNI_LIM_15!D20</f>
        <v>411190</v>
      </c>
      <c r="E12" s="350">
        <f t="shared" si="9"/>
        <v>1036310</v>
      </c>
      <c r="F12" s="336">
        <f>UNI_CDS_15!B20</f>
        <v>61106</v>
      </c>
      <c r="G12" s="336">
        <f>UNI_CDS_15!C20</f>
        <v>144779</v>
      </c>
      <c r="H12" s="336">
        <f>UNI_CDS_15!D20</f>
        <v>182210</v>
      </c>
      <c r="I12" s="337">
        <f t="shared" ref="I12:I24" si="10">SUM(F12:H12)</f>
        <v>388095</v>
      </c>
      <c r="J12" s="346">
        <f t="shared" ref="J12:J28" si="11">B12+F12</f>
        <v>250965</v>
      </c>
      <c r="K12" s="346">
        <f t="shared" ref="K12:K28" si="12">C12+G12</f>
        <v>580040</v>
      </c>
      <c r="L12" s="346">
        <f t="shared" ref="L12:L28" si="13">D12+H12</f>
        <v>593400</v>
      </c>
      <c r="M12" s="346">
        <f t="shared" ref="M12:M28" si="14">E12+I12</f>
        <v>1424405</v>
      </c>
      <c r="N12" s="336"/>
      <c r="O12" s="337"/>
    </row>
    <row r="13" spans="1:18" ht="15.6" x14ac:dyDescent="0.3">
      <c r="A13" s="327" t="s">
        <v>15</v>
      </c>
      <c r="B13" s="338">
        <f>UNI_LIM_15!B21</f>
        <v>100337</v>
      </c>
      <c r="C13" s="338">
        <f>UNI_LIM_15!C21</f>
        <v>215726</v>
      </c>
      <c r="D13" s="338">
        <f>UNI_LIM_15!D21</f>
        <v>209864</v>
      </c>
      <c r="E13" s="351">
        <f t="shared" si="9"/>
        <v>525927</v>
      </c>
      <c r="F13" s="338"/>
      <c r="G13" s="338"/>
      <c r="H13" s="338"/>
      <c r="I13" s="339"/>
      <c r="J13" s="346"/>
      <c r="K13" s="346"/>
      <c r="L13" s="346"/>
      <c r="M13" s="346"/>
      <c r="N13" s="338"/>
      <c r="O13" s="339"/>
    </row>
    <row r="14" spans="1:18" ht="15.6" x14ac:dyDescent="0.3">
      <c r="A14" s="327" t="s">
        <v>16</v>
      </c>
      <c r="B14" s="338">
        <f>UNI_LIM_15!B22</f>
        <v>89522</v>
      </c>
      <c r="C14" s="338">
        <f>UNI_LIM_15!C22</f>
        <v>219535</v>
      </c>
      <c r="D14" s="338">
        <f>UNI_LIM_15!D22</f>
        <v>201326</v>
      </c>
      <c r="E14" s="351">
        <f t="shared" si="9"/>
        <v>510383</v>
      </c>
      <c r="F14" s="338"/>
      <c r="G14" s="338"/>
      <c r="H14" s="338"/>
      <c r="I14" s="339"/>
      <c r="J14" s="346"/>
      <c r="K14" s="346"/>
      <c r="L14" s="346"/>
      <c r="M14" s="346"/>
      <c r="N14" s="338"/>
      <c r="O14" s="339"/>
    </row>
    <row r="15" spans="1:18" ht="15.6" x14ac:dyDescent="0.3">
      <c r="A15" s="113" t="s">
        <v>17</v>
      </c>
      <c r="B15" s="336">
        <f>UNI_LIM_15!B23</f>
        <v>283488</v>
      </c>
      <c r="C15" s="336">
        <f>UNI_LIM_15!C23</f>
        <v>601965</v>
      </c>
      <c r="D15" s="336">
        <f>UNI_LIM_15!D23</f>
        <v>602282</v>
      </c>
      <c r="E15" s="350">
        <f t="shared" si="9"/>
        <v>1487735</v>
      </c>
      <c r="F15" s="336">
        <f>UNI_CDS_15!B23</f>
        <v>86801</v>
      </c>
      <c r="G15" s="336">
        <f>UNI_CDS_15!C23</f>
        <v>206396</v>
      </c>
      <c r="H15" s="336">
        <f>UNI_CDS_15!D23</f>
        <v>277298</v>
      </c>
      <c r="I15" s="337">
        <f t="shared" si="10"/>
        <v>570495</v>
      </c>
      <c r="J15" s="346">
        <f t="shared" si="11"/>
        <v>370289</v>
      </c>
      <c r="K15" s="346">
        <f t="shared" si="12"/>
        <v>808361</v>
      </c>
      <c r="L15" s="346">
        <f t="shared" si="13"/>
        <v>879580</v>
      </c>
      <c r="M15" s="346">
        <f t="shared" si="14"/>
        <v>2058230</v>
      </c>
      <c r="N15" s="336"/>
      <c r="O15" s="337"/>
    </row>
    <row r="16" spans="1:18" ht="15.6" x14ac:dyDescent="0.3">
      <c r="A16" s="327" t="s">
        <v>18</v>
      </c>
      <c r="B16" s="338">
        <f>UNI_LIM_15!B24</f>
        <v>148325</v>
      </c>
      <c r="C16" s="338">
        <f>UNI_LIM_15!C24</f>
        <v>305069</v>
      </c>
      <c r="D16" s="338">
        <f>UNI_LIM_15!D24</f>
        <v>292820</v>
      </c>
      <c r="E16" s="351">
        <f t="shared" si="9"/>
        <v>746214</v>
      </c>
      <c r="F16" s="338"/>
      <c r="G16" s="338"/>
      <c r="H16" s="338"/>
      <c r="I16" s="339"/>
      <c r="J16" s="346"/>
      <c r="K16" s="346"/>
      <c r="L16" s="346"/>
      <c r="M16" s="346"/>
      <c r="N16" s="338"/>
      <c r="O16" s="339"/>
    </row>
    <row r="17" spans="1:15" ht="15.6" x14ac:dyDescent="0.3">
      <c r="A17" s="327" t="s">
        <v>19</v>
      </c>
      <c r="B17" s="338">
        <f>UNI_LIM_15!B25</f>
        <v>135163</v>
      </c>
      <c r="C17" s="338">
        <f>UNI_LIM_15!C25</f>
        <v>296896</v>
      </c>
      <c r="D17" s="338">
        <f>UNI_LIM_15!D25</f>
        <v>309462</v>
      </c>
      <c r="E17" s="351">
        <f t="shared" si="9"/>
        <v>741521</v>
      </c>
      <c r="F17" s="338"/>
      <c r="G17" s="338"/>
      <c r="H17" s="338"/>
      <c r="I17" s="339"/>
      <c r="J17" s="346"/>
      <c r="K17" s="346"/>
      <c r="L17" s="346"/>
      <c r="M17" s="346"/>
      <c r="N17" s="338"/>
      <c r="O17" s="339"/>
    </row>
    <row r="18" spans="1:15" ht="15.6" x14ac:dyDescent="0.3">
      <c r="A18" s="113" t="s">
        <v>20</v>
      </c>
      <c r="B18" s="336">
        <f>UNI_LIM_15!B26</f>
        <v>396219</v>
      </c>
      <c r="C18" s="336">
        <f>UNI_LIM_15!C26</f>
        <v>736970.95784140774</v>
      </c>
      <c r="D18" s="336">
        <f>UNI_LIM_15!D26</f>
        <v>738620.03399514116</v>
      </c>
      <c r="E18" s="350">
        <f t="shared" si="9"/>
        <v>1871809.9918365488</v>
      </c>
      <c r="F18" s="336">
        <f>UNI_CDS_15!B26</f>
        <v>103324</v>
      </c>
      <c r="G18" s="336">
        <f>UNI_CDS_15!C26</f>
        <v>242735</v>
      </c>
      <c r="H18" s="336">
        <f>UNI_CDS_15!D26</f>
        <v>309240</v>
      </c>
      <c r="I18" s="337">
        <f t="shared" si="10"/>
        <v>655299</v>
      </c>
      <c r="J18" s="346">
        <f t="shared" si="11"/>
        <v>499543</v>
      </c>
      <c r="K18" s="346">
        <f t="shared" si="12"/>
        <v>979705.95784140774</v>
      </c>
      <c r="L18" s="346">
        <f t="shared" si="13"/>
        <v>1047860.0339951412</v>
      </c>
      <c r="M18" s="346">
        <f t="shared" si="14"/>
        <v>2527108.9918365488</v>
      </c>
      <c r="N18" s="336"/>
      <c r="O18" s="337"/>
    </row>
    <row r="19" spans="1:15" ht="15.6" x14ac:dyDescent="0.3">
      <c r="A19" s="327" t="s">
        <v>21</v>
      </c>
      <c r="B19" s="338">
        <f>UNI_LIM_15!B27</f>
        <v>172647</v>
      </c>
      <c r="C19" s="338">
        <f>UNI_LIM_15!C27</f>
        <v>350773.95784140774</v>
      </c>
      <c r="D19" s="338">
        <f>UNI_LIM_15!D27</f>
        <v>371761.03399514116</v>
      </c>
      <c r="E19" s="351">
        <f t="shared" si="9"/>
        <v>895181.9918365489</v>
      </c>
      <c r="F19" s="338"/>
      <c r="G19" s="338"/>
      <c r="H19" s="338"/>
      <c r="I19" s="339"/>
      <c r="J19" s="346"/>
      <c r="K19" s="346"/>
      <c r="L19" s="346"/>
      <c r="M19" s="346"/>
      <c r="N19" s="338"/>
      <c r="O19" s="339"/>
    </row>
    <row r="20" spans="1:15" ht="15.6" x14ac:dyDescent="0.3">
      <c r="A20" s="327" t="s">
        <v>22</v>
      </c>
      <c r="B20" s="338">
        <f>UNI_LIM_15!B28</f>
        <v>223572</v>
      </c>
      <c r="C20" s="338">
        <f>UNI_LIM_15!C28</f>
        <v>386197</v>
      </c>
      <c r="D20" s="338">
        <f>UNI_LIM_15!D28</f>
        <v>366859</v>
      </c>
      <c r="E20" s="351">
        <f t="shared" si="9"/>
        <v>976628</v>
      </c>
      <c r="F20" s="338"/>
      <c r="G20" s="338"/>
      <c r="H20" s="338"/>
      <c r="I20" s="339"/>
      <c r="J20" s="346"/>
      <c r="K20" s="346"/>
      <c r="L20" s="346"/>
      <c r="M20" s="346"/>
      <c r="N20" s="338"/>
      <c r="O20" s="339"/>
    </row>
    <row r="21" spans="1:15" ht="15.6" x14ac:dyDescent="0.3">
      <c r="A21" s="113" t="s">
        <v>23</v>
      </c>
      <c r="B21" s="336">
        <f>UNI_LIM_15!B29</f>
        <v>374820</v>
      </c>
      <c r="C21" s="336">
        <f>UNI_LIM_15!C29</f>
        <v>635791</v>
      </c>
      <c r="D21" s="336">
        <f>UNI_LIM_15!D29</f>
        <v>538106</v>
      </c>
      <c r="E21" s="350">
        <f t="shared" si="9"/>
        <v>1548717</v>
      </c>
      <c r="F21" s="336">
        <f>UNI_CDS_15!B29</f>
        <v>98180</v>
      </c>
      <c r="G21" s="336">
        <f>UNI_CDS_15!C29</f>
        <v>205364</v>
      </c>
      <c r="H21" s="336">
        <f>UNI_CDS_15!D29</f>
        <v>201063</v>
      </c>
      <c r="I21" s="337">
        <f t="shared" si="10"/>
        <v>504607</v>
      </c>
      <c r="J21" s="346">
        <f t="shared" si="11"/>
        <v>473000</v>
      </c>
      <c r="K21" s="346">
        <f t="shared" si="12"/>
        <v>841155</v>
      </c>
      <c r="L21" s="346">
        <f t="shared" si="13"/>
        <v>739169</v>
      </c>
      <c r="M21" s="346">
        <f t="shared" si="14"/>
        <v>2053324</v>
      </c>
      <c r="N21" s="336"/>
      <c r="O21" s="337"/>
    </row>
    <row r="22" spans="1:15" ht="15.6" x14ac:dyDescent="0.3">
      <c r="A22" s="327" t="s">
        <v>24</v>
      </c>
      <c r="B22" s="338">
        <f>UNI_LIM_15!B30</f>
        <v>173091</v>
      </c>
      <c r="C22" s="338">
        <f>UNI_LIM_15!C30</f>
        <v>303328</v>
      </c>
      <c r="D22" s="338">
        <f>UNI_LIM_15!D30</f>
        <v>255924</v>
      </c>
      <c r="E22" s="351">
        <f t="shared" si="9"/>
        <v>732343</v>
      </c>
      <c r="F22" s="338"/>
      <c r="G22" s="338"/>
      <c r="H22" s="338"/>
      <c r="I22" s="339"/>
      <c r="J22" s="346"/>
      <c r="K22" s="346"/>
      <c r="L22" s="346"/>
      <c r="M22" s="346"/>
      <c r="N22" s="338"/>
      <c r="O22" s="339"/>
    </row>
    <row r="23" spans="1:15" ht="15.6" x14ac:dyDescent="0.3">
      <c r="A23" s="327" t="s">
        <v>25</v>
      </c>
      <c r="B23" s="338">
        <f>UNI_LIM_15!B31</f>
        <v>201729</v>
      </c>
      <c r="C23" s="338">
        <f>UNI_LIM_15!C31</f>
        <v>332463</v>
      </c>
      <c r="D23" s="338">
        <f>UNI_LIM_15!D31</f>
        <v>282182</v>
      </c>
      <c r="E23" s="351">
        <f t="shared" si="9"/>
        <v>816374</v>
      </c>
      <c r="F23" s="338"/>
      <c r="G23" s="338"/>
      <c r="H23" s="338"/>
      <c r="I23" s="339"/>
      <c r="J23" s="346"/>
      <c r="K23" s="346"/>
      <c r="L23" s="346"/>
      <c r="M23" s="346"/>
      <c r="N23" s="338"/>
      <c r="O23" s="339"/>
    </row>
    <row r="24" spans="1:15" ht="15.6" x14ac:dyDescent="0.3">
      <c r="A24" s="113" t="s">
        <v>26</v>
      </c>
      <c r="B24" s="336">
        <f>UNI_LIM_15!B32</f>
        <v>650172.99095598992</v>
      </c>
      <c r="C24" s="336">
        <f>UNI_LIM_15!C32</f>
        <v>841540</v>
      </c>
      <c r="D24" s="336">
        <f>UNI_LIM_15!D32</f>
        <v>535518</v>
      </c>
      <c r="E24" s="350">
        <f t="shared" si="9"/>
        <v>2027230.9909559898</v>
      </c>
      <c r="F24" s="336">
        <f>UNI_CDS_15!B32</f>
        <v>140858</v>
      </c>
      <c r="G24" s="336">
        <f>UNI_CDS_15!C32</f>
        <v>277726</v>
      </c>
      <c r="H24" s="336">
        <f>UNI_CDS_15!D32</f>
        <v>252843</v>
      </c>
      <c r="I24" s="337">
        <f t="shared" si="10"/>
        <v>671427</v>
      </c>
      <c r="J24" s="346">
        <f t="shared" si="11"/>
        <v>791030.99095598992</v>
      </c>
      <c r="K24" s="346">
        <f t="shared" si="12"/>
        <v>1119266</v>
      </c>
      <c r="L24" s="346">
        <f t="shared" si="13"/>
        <v>788361</v>
      </c>
      <c r="M24" s="346">
        <f t="shared" si="14"/>
        <v>2698657.9909559898</v>
      </c>
      <c r="N24" s="336"/>
      <c r="O24" s="337"/>
    </row>
    <row r="25" spans="1:15" ht="15.6" x14ac:dyDescent="0.3">
      <c r="A25" s="327" t="s">
        <v>27</v>
      </c>
      <c r="B25" s="338">
        <f>UNI_LIM_15!B33</f>
        <v>309551.99095598992</v>
      </c>
      <c r="C25" s="338">
        <f>UNI_LIM_15!C33</f>
        <v>391523</v>
      </c>
      <c r="D25" s="338">
        <f>UNI_LIM_15!D33</f>
        <v>255145</v>
      </c>
      <c r="E25" s="351">
        <f t="shared" si="9"/>
        <v>956219.99095598992</v>
      </c>
      <c r="F25" s="338"/>
      <c r="G25" s="338"/>
      <c r="H25" s="338"/>
      <c r="I25" s="339"/>
      <c r="J25" s="346"/>
      <c r="K25" s="346"/>
      <c r="L25" s="346"/>
      <c r="M25" s="346"/>
      <c r="N25" s="338"/>
      <c r="O25" s="339"/>
    </row>
    <row r="26" spans="1:15" ht="15.6" x14ac:dyDescent="0.3">
      <c r="A26" s="327" t="s">
        <v>28</v>
      </c>
      <c r="B26" s="338">
        <f>UNI_LIM_15!B34</f>
        <v>340621</v>
      </c>
      <c r="C26" s="338">
        <f>UNI_LIM_15!C34</f>
        <v>450017</v>
      </c>
      <c r="D26" s="338">
        <f>UNI_LIM_15!D34</f>
        <v>280373</v>
      </c>
      <c r="E26" s="351">
        <f t="shared" si="9"/>
        <v>1071011</v>
      </c>
      <c r="F26" s="338"/>
      <c r="G26" s="338"/>
      <c r="H26" s="338"/>
      <c r="I26" s="339"/>
      <c r="J26" s="346"/>
      <c r="K26" s="346"/>
      <c r="L26" s="346"/>
      <c r="M26" s="346"/>
      <c r="N26" s="338"/>
      <c r="O26" s="339"/>
    </row>
    <row r="27" spans="1:15" ht="15.6" x14ac:dyDescent="0.3">
      <c r="A27" s="113" t="s">
        <v>29</v>
      </c>
      <c r="B27" s="336">
        <f>B3</f>
        <v>598490.24979812466</v>
      </c>
      <c r="C27" s="336">
        <f t="shared" ref="C27:D27" si="15">C3</f>
        <v>964639.90287129371</v>
      </c>
      <c r="D27" s="336">
        <f t="shared" si="15"/>
        <v>952207.90215033898</v>
      </c>
      <c r="E27" s="350">
        <f t="shared" si="9"/>
        <v>2515338.0548197571</v>
      </c>
      <c r="F27" s="336">
        <f>F3</f>
        <v>144978</v>
      </c>
      <c r="G27" s="336">
        <f t="shared" ref="G27:I27" si="16">G3</f>
        <v>319340</v>
      </c>
      <c r="H27" s="336">
        <f t="shared" si="16"/>
        <v>399794</v>
      </c>
      <c r="I27" s="336">
        <f t="shared" si="16"/>
        <v>864112</v>
      </c>
      <c r="J27" s="346">
        <f t="shared" si="11"/>
        <v>743468.24979812466</v>
      </c>
      <c r="K27" s="346">
        <f t="shared" si="12"/>
        <v>1283979.9028712937</v>
      </c>
      <c r="L27" s="346">
        <f t="shared" si="13"/>
        <v>1352001.902150339</v>
      </c>
      <c r="M27" s="346">
        <f t="shared" si="14"/>
        <v>3379450.0548197571</v>
      </c>
      <c r="N27" s="336">
        <f>N3</f>
        <v>439328.52150365105</v>
      </c>
      <c r="O27" s="336">
        <f>O3</f>
        <v>424783.39724953473</v>
      </c>
    </row>
    <row r="28" spans="1:15" ht="15.6" x14ac:dyDescent="0.3">
      <c r="A28" s="113" t="s">
        <v>30</v>
      </c>
      <c r="B28" s="336">
        <f>B3</f>
        <v>598490.24979812466</v>
      </c>
      <c r="C28" s="336">
        <f t="shared" ref="C28:D28" si="17">C3</f>
        <v>964639.90287129371</v>
      </c>
      <c r="D28" s="336">
        <f t="shared" si="17"/>
        <v>952207.90215033898</v>
      </c>
      <c r="E28" s="350">
        <f t="shared" si="9"/>
        <v>2515338.0548197571</v>
      </c>
      <c r="F28" s="336">
        <f>F27</f>
        <v>144978</v>
      </c>
      <c r="G28" s="336">
        <f t="shared" ref="G28:I28" si="18">G27</f>
        <v>319340</v>
      </c>
      <c r="H28" s="336">
        <f t="shared" si="18"/>
        <v>399794</v>
      </c>
      <c r="I28" s="336">
        <f t="shared" si="18"/>
        <v>864112</v>
      </c>
      <c r="J28" s="346">
        <f t="shared" si="11"/>
        <v>743468.24979812466</v>
      </c>
      <c r="K28" s="346">
        <f t="shared" si="12"/>
        <v>1283979.9028712937</v>
      </c>
      <c r="L28" s="346">
        <f t="shared" si="13"/>
        <v>1352001.902150339</v>
      </c>
      <c r="M28" s="346">
        <f t="shared" si="14"/>
        <v>3379450.0548197571</v>
      </c>
      <c r="N28" s="336">
        <f>N27</f>
        <v>439328.52150365105</v>
      </c>
      <c r="O28" s="336">
        <f>O27</f>
        <v>424783.39724953473</v>
      </c>
    </row>
    <row r="29" spans="1:15" ht="16.2" thickBot="1" x14ac:dyDescent="0.35">
      <c r="A29" s="108"/>
      <c r="B29" s="340"/>
      <c r="C29" s="328"/>
      <c r="D29" s="328"/>
      <c r="E29" s="352"/>
      <c r="F29" s="340"/>
      <c r="G29" s="328"/>
      <c r="H29" s="328"/>
      <c r="I29" s="341"/>
      <c r="J29" s="347"/>
      <c r="K29" s="328"/>
      <c r="L29" s="328"/>
      <c r="M29" s="352"/>
      <c r="N29" s="411"/>
      <c r="O29" s="412"/>
    </row>
    <row r="30" spans="1:15" ht="16.2" thickBot="1" x14ac:dyDescent="0.35">
      <c r="A30" s="127" t="s">
        <v>31</v>
      </c>
      <c r="B30" s="334">
        <f>UNI_LIM_15!B37</f>
        <v>901085</v>
      </c>
      <c r="C30" s="334">
        <f>UNI_LIM_15!C37</f>
        <v>1465573</v>
      </c>
      <c r="D30" s="334">
        <f>UNI_LIM_15!D37</f>
        <v>1238876</v>
      </c>
      <c r="E30" s="349">
        <f>SUM(B30:D30)</f>
        <v>3605534</v>
      </c>
      <c r="F30" s="334">
        <f>UNI_CDS_15!B37</f>
        <v>224824</v>
      </c>
      <c r="G30" s="334">
        <f>UNI_CDS_15!C37</f>
        <v>502716</v>
      </c>
      <c r="H30" s="334">
        <f>UNI_CDS_15!D37</f>
        <v>552958</v>
      </c>
      <c r="I30" s="335">
        <f>SUM(F30:H30)</f>
        <v>1280498</v>
      </c>
      <c r="J30" s="345">
        <f>B30+F30</f>
        <v>1125909</v>
      </c>
      <c r="K30" s="345">
        <f t="shared" ref="K30:M30" si="19">C30+G30</f>
        <v>1968289</v>
      </c>
      <c r="L30" s="345">
        <f t="shared" si="19"/>
        <v>1791834</v>
      </c>
      <c r="M30" s="345">
        <f t="shared" si="19"/>
        <v>4886032</v>
      </c>
      <c r="N30" s="334"/>
      <c r="O30" s="335"/>
    </row>
    <row r="31" spans="1:15" ht="16.2" thickBot="1" x14ac:dyDescent="0.35">
      <c r="A31" s="127" t="s">
        <v>32</v>
      </c>
      <c r="B31" s="334">
        <f>UNI_LIM_15!B36</f>
        <v>803614.99095598992</v>
      </c>
      <c r="C31" s="334">
        <f>UNI_LIM_15!C36</f>
        <v>1350693.9578414077</v>
      </c>
      <c r="D31" s="334">
        <f>UNI_LIM_15!D36</f>
        <v>1175650.0339951413</v>
      </c>
      <c r="E31" s="349">
        <f>SUM(B31:D31)</f>
        <v>3329958.9827925391</v>
      </c>
      <c r="F31" s="334">
        <f>UNI_CDS_15!B36</f>
        <v>204339</v>
      </c>
      <c r="G31" s="334">
        <f>UNI_CDS_15!C36</f>
        <v>429505</v>
      </c>
      <c r="H31" s="334">
        <f>UNI_CDS_15!D36</f>
        <v>487486</v>
      </c>
      <c r="I31" s="335">
        <f t="shared" ref="I31:I32" si="20">SUM(F31:H31)</f>
        <v>1121330</v>
      </c>
      <c r="J31" s="345">
        <f t="shared" ref="J31:J32" si="21">B31+F31</f>
        <v>1007953.9909559899</v>
      </c>
      <c r="K31" s="345">
        <f t="shared" ref="K31:K32" si="22">C31+G31</f>
        <v>1780198.9578414077</v>
      </c>
      <c r="L31" s="345">
        <f t="shared" ref="L31:L32" si="23">D31+H31</f>
        <v>1663136.0339951413</v>
      </c>
      <c r="M31" s="345">
        <f t="shared" ref="M31:M32" si="24">E31+I31</f>
        <v>4451288.9827925395</v>
      </c>
      <c r="N31" s="334"/>
      <c r="O31" s="335"/>
    </row>
    <row r="32" spans="1:15" ht="16.2" thickBot="1" x14ac:dyDescent="0.35">
      <c r="A32" s="127" t="s">
        <v>33</v>
      </c>
      <c r="B32" s="342">
        <f>UNI_LIM_15!B36+UNI_LIM_15!B37</f>
        <v>1704699.9909559898</v>
      </c>
      <c r="C32" s="342">
        <f>UNI_LIM_15!C36+UNI_LIM_15!C37</f>
        <v>2816266.9578414075</v>
      </c>
      <c r="D32" s="342">
        <f>UNI_LIM_15!D36+UNI_LIM_15!D37</f>
        <v>2414526.0339951413</v>
      </c>
      <c r="E32" s="349">
        <f>SUM(B32:D32)</f>
        <v>6935492.9827925386</v>
      </c>
      <c r="F32" s="342">
        <f>SUM(F30:F31)</f>
        <v>429163</v>
      </c>
      <c r="G32" s="342">
        <f t="shared" ref="G32:H32" si="25">SUM(G30:G31)</f>
        <v>932221</v>
      </c>
      <c r="H32" s="342">
        <f t="shared" si="25"/>
        <v>1040444</v>
      </c>
      <c r="I32" s="335">
        <f t="shared" si="20"/>
        <v>2401828</v>
      </c>
      <c r="J32" s="345">
        <f t="shared" si="21"/>
        <v>2133862.9909559898</v>
      </c>
      <c r="K32" s="345">
        <f t="shared" si="22"/>
        <v>3748487.9578414075</v>
      </c>
      <c r="L32" s="345">
        <f t="shared" si="23"/>
        <v>3454970.0339951413</v>
      </c>
      <c r="M32" s="345">
        <f t="shared" si="24"/>
        <v>9337320.9827925377</v>
      </c>
      <c r="N32" s="342"/>
      <c r="O32" s="343"/>
    </row>
    <row r="33" spans="5:9" ht="15.6" x14ac:dyDescent="0.3">
      <c r="E33" s="868">
        <f>+(E32-'2014'!E33)/'2014'!E33</f>
        <v>2.9413909976773945E-2</v>
      </c>
    </row>
    <row r="34" spans="5:9" x14ac:dyDescent="0.3">
      <c r="I34" s="772"/>
    </row>
    <row r="36" spans="5:9" x14ac:dyDescent="0.3">
      <c r="I36" s="38"/>
    </row>
  </sheetData>
  <mergeCells count="3">
    <mergeCell ref="F1:I1"/>
    <mergeCell ref="J1:M1"/>
    <mergeCell ref="B1:E1"/>
  </mergeCells>
  <pageMargins left="0.25" right="0.25" top="0.75" bottom="0.75" header="0.3" footer="0.3"/>
  <pageSetup scale="77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O80"/>
  <sheetViews>
    <sheetView workbookViewId="0">
      <selection activeCell="K19" sqref="K19"/>
    </sheetView>
  </sheetViews>
  <sheetFormatPr baseColWidth="10" defaultRowHeight="14.4" x14ac:dyDescent="0.3"/>
  <cols>
    <col min="12" max="12" width="24.6640625" customWidth="1"/>
    <col min="13" max="15" width="10.5546875" customWidth="1"/>
    <col min="17" max="17" width="14" bestFit="1" customWidth="1"/>
    <col min="30" max="30" width="16.6640625" bestFit="1" customWidth="1"/>
  </cols>
  <sheetData>
    <row r="1" spans="1:41" ht="16.2" thickBot="1" x14ac:dyDescent="0.35">
      <c r="L1" s="1021" t="s">
        <v>111</v>
      </c>
      <c r="M1" s="1021"/>
      <c r="N1" s="1021"/>
      <c r="O1" s="1021"/>
      <c r="P1" s="1021"/>
    </row>
    <row r="2" spans="1:41" ht="15.6" thickTop="1" thickBot="1" x14ac:dyDescent="0.35">
      <c r="A2" s="1006"/>
      <c r="B2" s="1008"/>
      <c r="C2" s="1015" t="s">
        <v>41</v>
      </c>
      <c r="D2" s="1016"/>
      <c r="E2" s="1016"/>
      <c r="F2" s="1017"/>
      <c r="G2" s="68"/>
      <c r="L2" s="147"/>
      <c r="M2" s="190" t="s">
        <v>92</v>
      </c>
      <c r="N2" s="190" t="s">
        <v>6</v>
      </c>
      <c r="O2" s="191" t="s">
        <v>93</v>
      </c>
      <c r="P2" s="151" t="s">
        <v>116</v>
      </c>
      <c r="Q2" s="1020" t="s">
        <v>117</v>
      </c>
      <c r="R2" s="1020"/>
    </row>
    <row r="3" spans="1:41" x14ac:dyDescent="0.3">
      <c r="A3" s="1009"/>
      <c r="B3" s="1011"/>
      <c r="C3" s="1018" t="s">
        <v>50</v>
      </c>
      <c r="D3" s="1019"/>
      <c r="E3" s="998" t="s">
        <v>51</v>
      </c>
      <c r="F3" s="999"/>
      <c r="G3" s="68"/>
      <c r="L3" s="195" t="s">
        <v>52</v>
      </c>
      <c r="M3" s="196">
        <f>ROUND(C7,0)</f>
        <v>481267</v>
      </c>
      <c r="N3" s="196">
        <f>ROUND(C8,0)</f>
        <v>698078</v>
      </c>
      <c r="O3" s="197">
        <f>ROUND(C9,0)</f>
        <v>440248</v>
      </c>
      <c r="P3" s="44">
        <f>SUM(M3:O3)</f>
        <v>1619593</v>
      </c>
      <c r="Q3" s="188">
        <f>SUM(P3:P4)</f>
        <v>2383337</v>
      </c>
    </row>
    <row r="4" spans="1:41" ht="15" thickBot="1" x14ac:dyDescent="0.35">
      <c r="A4" s="1009"/>
      <c r="B4" s="1011"/>
      <c r="C4" s="1018" t="s">
        <v>49</v>
      </c>
      <c r="D4" s="1019"/>
      <c r="E4" s="998" t="s">
        <v>49</v>
      </c>
      <c r="F4" s="999"/>
      <c r="G4" s="68"/>
      <c r="L4" s="198" t="s">
        <v>53</v>
      </c>
      <c r="M4" s="199">
        <f>ROUND(D7,0)</f>
        <v>49110</v>
      </c>
      <c r="N4" s="199">
        <f>ROUND(D8,0)</f>
        <v>228682</v>
      </c>
      <c r="O4" s="200">
        <f>ROUND(D9,0)</f>
        <v>485952</v>
      </c>
      <c r="P4" s="44">
        <f>SUM(M4:O4)</f>
        <v>763744</v>
      </c>
      <c r="U4" s="225">
        <v>48.65908187424872</v>
      </c>
      <c r="V4" s="225">
        <v>51.34091812575128</v>
      </c>
    </row>
    <row r="5" spans="1:41" ht="15" thickBot="1" x14ac:dyDescent="0.35">
      <c r="A5" s="1009"/>
      <c r="B5" s="1011"/>
      <c r="C5" s="177" t="s">
        <v>50</v>
      </c>
      <c r="D5" s="178" t="s">
        <v>51</v>
      </c>
      <c r="E5" s="69" t="s">
        <v>50</v>
      </c>
      <c r="F5" s="70" t="s">
        <v>51</v>
      </c>
      <c r="G5" s="68"/>
      <c r="L5" s="201" t="s">
        <v>57</v>
      </c>
      <c r="M5" s="202">
        <f>M3+M4</f>
        <v>530377</v>
      </c>
      <c r="N5" s="202">
        <f>SUM(N3:N4)</f>
        <v>926760</v>
      </c>
      <c r="O5" s="203">
        <f>SUM(O3:O4)</f>
        <v>926200</v>
      </c>
      <c r="P5" s="189">
        <f t="shared" ref="P5:P35" si="0">SUM(M5:O5)</f>
        <v>2383337</v>
      </c>
    </row>
    <row r="6" spans="1:41" ht="15" thickBot="1" x14ac:dyDescent="0.35">
      <c r="A6" s="1012"/>
      <c r="B6" s="1014"/>
      <c r="C6" s="179" t="s">
        <v>40</v>
      </c>
      <c r="D6" s="180" t="s">
        <v>40</v>
      </c>
      <c r="E6" s="71" t="s">
        <v>40</v>
      </c>
      <c r="F6" s="72" t="s">
        <v>40</v>
      </c>
      <c r="G6" s="68"/>
      <c r="L6" s="204" t="s">
        <v>88</v>
      </c>
      <c r="M6" s="205">
        <f>M5</f>
        <v>530377</v>
      </c>
      <c r="N6" s="205">
        <f>N5</f>
        <v>926760</v>
      </c>
      <c r="O6" s="206">
        <f>O5</f>
        <v>926200</v>
      </c>
      <c r="P6" s="44">
        <f t="shared" si="0"/>
        <v>2383337</v>
      </c>
    </row>
    <row r="7" spans="1:41" ht="15" thickTop="1" x14ac:dyDescent="0.3">
      <c r="A7" s="1000" t="s">
        <v>112</v>
      </c>
      <c r="B7" s="73" t="s">
        <v>5</v>
      </c>
      <c r="C7" s="181">
        <v>481266.79329297703</v>
      </c>
      <c r="D7" s="182">
        <v>49110.324737849776</v>
      </c>
      <c r="E7" s="74">
        <v>0</v>
      </c>
      <c r="F7" s="75">
        <v>0</v>
      </c>
      <c r="G7" s="68"/>
      <c r="L7" s="207" t="s">
        <v>54</v>
      </c>
      <c r="M7" s="208">
        <f>ROUND(C19,0)</f>
        <v>1861096</v>
      </c>
      <c r="N7" s="208">
        <f>ROUND(C20,0)</f>
        <v>2975777</v>
      </c>
      <c r="O7" s="209">
        <f>ROUND(C21,0)</f>
        <v>1798851</v>
      </c>
      <c r="P7" s="44">
        <f>SUM(M7:O7)</f>
        <v>6635724</v>
      </c>
      <c r="Q7" s="188">
        <f>SUM(P7:P8)</f>
        <v>9585643</v>
      </c>
    </row>
    <row r="8" spans="1:41" ht="15" thickBot="1" x14ac:dyDescent="0.35">
      <c r="A8" s="1001"/>
      <c r="B8" s="76" t="s">
        <v>6</v>
      </c>
      <c r="C8" s="183">
        <v>698077.92334995186</v>
      </c>
      <c r="D8" s="184">
        <v>228681.97575255949</v>
      </c>
      <c r="E8" s="77">
        <v>0</v>
      </c>
      <c r="F8" s="78">
        <v>727.91413043478667</v>
      </c>
      <c r="G8" s="68"/>
      <c r="L8" s="210" t="s">
        <v>55</v>
      </c>
      <c r="M8" s="211">
        <f>ROUND(D19,0)</f>
        <v>175829</v>
      </c>
      <c r="N8" s="211">
        <f>ROUND(D20,0)</f>
        <v>881838</v>
      </c>
      <c r="O8" s="212">
        <f>ROUND(D21,0)</f>
        <v>1892252</v>
      </c>
      <c r="P8" s="44">
        <f>SUM(M8:O8)</f>
        <v>2949919</v>
      </c>
    </row>
    <row r="9" spans="1:41" ht="15" thickBot="1" x14ac:dyDescent="0.35">
      <c r="A9" s="1002"/>
      <c r="B9" s="79" t="s">
        <v>7</v>
      </c>
      <c r="C9" s="185">
        <v>440248.38952724432</v>
      </c>
      <c r="D9" s="186">
        <v>485952.03705957433</v>
      </c>
      <c r="E9" s="80">
        <v>0</v>
      </c>
      <c r="F9" s="81">
        <v>25131.261851240597</v>
      </c>
      <c r="G9" s="68"/>
      <c r="L9" s="140"/>
      <c r="M9" s="141"/>
      <c r="N9" s="141"/>
      <c r="O9" s="142"/>
      <c r="P9" s="44">
        <f t="shared" si="0"/>
        <v>0</v>
      </c>
    </row>
    <row r="10" spans="1:41" ht="15" thickTop="1" x14ac:dyDescent="0.3">
      <c r="D10" s="189">
        <f>SUM(C7:D9)</f>
        <v>2383337.4437201568</v>
      </c>
      <c r="L10" s="217" t="s">
        <v>56</v>
      </c>
      <c r="M10" s="218">
        <f>M11+M12</f>
        <v>1962721</v>
      </c>
      <c r="N10" s="218">
        <f>N11+N12</f>
        <v>3709456</v>
      </c>
      <c r="O10" s="219">
        <f>O11+O12</f>
        <v>3493986</v>
      </c>
      <c r="P10" s="189">
        <f>SUM(M10:O10)</f>
        <v>9166163</v>
      </c>
      <c r="Q10" s="189">
        <f>P11+P12</f>
        <v>9166163</v>
      </c>
    </row>
    <row r="11" spans="1:41" x14ac:dyDescent="0.3">
      <c r="L11" s="222" t="s">
        <v>64</v>
      </c>
      <c r="M11" s="223">
        <f>ROUND(SUM(E31:E36),0)</f>
        <v>1790472</v>
      </c>
      <c r="N11" s="223">
        <f>ROUND(SUM(E38:E43),0)</f>
        <v>2856204</v>
      </c>
      <c r="O11" s="224">
        <f>ROUND(SUM(E45:E50),0)</f>
        <v>1690826</v>
      </c>
      <c r="P11" s="44">
        <f>SUM(M11:O11)</f>
        <v>6337502</v>
      </c>
    </row>
    <row r="12" spans="1:41" ht="15" thickBot="1" x14ac:dyDescent="0.35">
      <c r="L12" s="210" t="s">
        <v>91</v>
      </c>
      <c r="M12" s="211">
        <f>ROUND(SUM(F31:F36),0)</f>
        <v>172249</v>
      </c>
      <c r="N12" s="211">
        <f>ROUND(SUM(F38:F43),0)</f>
        <v>853252</v>
      </c>
      <c r="O12" s="212">
        <f>ROUND(SUM(F45:F50),0)</f>
        <v>1803160</v>
      </c>
      <c r="P12" s="44">
        <f t="shared" si="0"/>
        <v>2828661</v>
      </c>
      <c r="R12" s="189">
        <f>SUM(R13:R15)</f>
        <v>9166163</v>
      </c>
    </row>
    <row r="13" spans="1:41" ht="15.6" thickTop="1" thickBot="1" x14ac:dyDescent="0.35">
      <c r="L13" s="137"/>
      <c r="M13" s="138"/>
      <c r="N13" s="138"/>
      <c r="O13" s="139"/>
      <c r="P13" s="44">
        <f t="shared" si="0"/>
        <v>0</v>
      </c>
      <c r="R13" s="242">
        <f>M17+M20+M23+M26+M29+M32</f>
        <v>1962721</v>
      </c>
      <c r="S13" s="1006"/>
      <c r="T13" s="1007"/>
      <c r="U13" s="1007"/>
      <c r="V13" s="1008"/>
      <c r="W13" s="1015" t="s">
        <v>41</v>
      </c>
      <c r="X13" s="1016"/>
      <c r="Y13" s="1016"/>
      <c r="Z13" s="1016"/>
      <c r="AA13" s="1016"/>
      <c r="AB13" s="1017"/>
      <c r="AC13" s="68"/>
      <c r="AE13" s="213"/>
      <c r="AF13" s="213"/>
      <c r="AG13" s="213"/>
      <c r="AH13" s="213"/>
      <c r="AI13" s="213"/>
      <c r="AJ13" s="213"/>
      <c r="AK13" s="213"/>
      <c r="AL13" s="213"/>
      <c r="AM13" s="213"/>
      <c r="AN13" s="213"/>
      <c r="AO13" s="68"/>
    </row>
    <row r="14" spans="1:41" ht="15" thickTop="1" x14ac:dyDescent="0.3">
      <c r="A14" s="1006"/>
      <c r="B14" s="1008"/>
      <c r="C14" s="1015" t="s">
        <v>41</v>
      </c>
      <c r="D14" s="1016"/>
      <c r="E14" s="1016"/>
      <c r="F14" s="1017"/>
      <c r="G14" s="68"/>
      <c r="L14" s="220" t="s">
        <v>65</v>
      </c>
      <c r="M14" s="221">
        <f>M19+M25+M28+M31+M34+M22</f>
        <v>1054899</v>
      </c>
      <c r="N14" s="221">
        <f t="shared" ref="N14:O14" si="1">N19+N25+N28+N31+N34+N22</f>
        <v>1900374</v>
      </c>
      <c r="O14" s="221">
        <f t="shared" si="1"/>
        <v>1756130</v>
      </c>
      <c r="P14" s="44">
        <f>SUM(M14:O14)</f>
        <v>4711403</v>
      </c>
      <c r="Q14" s="189">
        <f>SUM(P14:P15)</f>
        <v>9166163</v>
      </c>
      <c r="R14" s="242">
        <f>N17+N20+N23+N26+N29+N32</f>
        <v>3709456</v>
      </c>
      <c r="S14" s="1009"/>
      <c r="T14" s="1010"/>
      <c r="U14" s="1010"/>
      <c r="V14" s="1011"/>
      <c r="W14" s="1018" t="s">
        <v>42</v>
      </c>
      <c r="X14" s="1019"/>
      <c r="Y14" s="1019"/>
      <c r="Z14" s="998" t="s">
        <v>43</v>
      </c>
      <c r="AA14" s="998"/>
      <c r="AB14" s="999"/>
      <c r="AC14" s="68"/>
      <c r="AE14" s="213"/>
      <c r="AF14" s="213"/>
      <c r="AG14" s="213"/>
      <c r="AH14" s="213"/>
      <c r="AI14" s="213"/>
      <c r="AJ14" s="213"/>
      <c r="AK14" s="213"/>
      <c r="AL14" s="213"/>
      <c r="AM14" s="213"/>
      <c r="AN14" s="213"/>
      <c r="AO14" s="68"/>
    </row>
    <row r="15" spans="1:41" x14ac:dyDescent="0.3">
      <c r="A15" s="1009"/>
      <c r="B15" s="1011"/>
      <c r="C15" s="1018" t="s">
        <v>42</v>
      </c>
      <c r="D15" s="1019"/>
      <c r="E15" s="998" t="s">
        <v>43</v>
      </c>
      <c r="F15" s="999"/>
      <c r="G15" s="68"/>
      <c r="L15" s="220" t="s">
        <v>66</v>
      </c>
      <c r="M15" s="221">
        <f>M18+M21+M24+M27+M30+M33</f>
        <v>907822</v>
      </c>
      <c r="N15" s="221">
        <f t="shared" ref="N15:O15" si="2">N18+N21+N24+N27+N30+N33</f>
        <v>1809082</v>
      </c>
      <c r="O15" s="221">
        <f t="shared" si="2"/>
        <v>1737856</v>
      </c>
      <c r="P15" s="44">
        <f>SUM(M15:O15)</f>
        <v>4454760</v>
      </c>
      <c r="Q15" s="44"/>
      <c r="R15" s="242">
        <f>O17+O20+O23+O26+O29+O32</f>
        <v>3493986</v>
      </c>
      <c r="S15" s="1009"/>
      <c r="T15" s="1010"/>
      <c r="U15" s="1010"/>
      <c r="V15" s="1011"/>
      <c r="W15" s="1018" t="s">
        <v>112</v>
      </c>
      <c r="X15" s="1019"/>
      <c r="Y15" s="1019"/>
      <c r="Z15" s="998" t="s">
        <v>112</v>
      </c>
      <c r="AA15" s="998"/>
      <c r="AB15" s="999"/>
      <c r="AC15" s="68"/>
      <c r="AE15" s="213"/>
      <c r="AF15" s="213"/>
      <c r="AG15" s="213"/>
      <c r="AH15" s="213"/>
      <c r="AI15" s="213"/>
      <c r="AJ15" s="213"/>
      <c r="AK15" s="213"/>
      <c r="AL15" s="213"/>
      <c r="AM15" s="213"/>
      <c r="AN15" s="213"/>
      <c r="AO15" s="68"/>
    </row>
    <row r="16" spans="1:41" ht="15" thickBot="1" x14ac:dyDescent="0.35">
      <c r="A16" s="1009"/>
      <c r="B16" s="1011"/>
      <c r="C16" s="1018" t="s">
        <v>49</v>
      </c>
      <c r="D16" s="1019"/>
      <c r="E16" s="998" t="s">
        <v>49</v>
      </c>
      <c r="F16" s="999"/>
      <c r="G16" s="68"/>
      <c r="L16" s="143"/>
      <c r="M16" s="286">
        <f>SUM(M14:M15)</f>
        <v>1962721</v>
      </c>
      <c r="N16" s="286">
        <f t="shared" ref="N16:O16" si="3">SUM(N14:N15)</f>
        <v>3709456</v>
      </c>
      <c r="O16" s="286">
        <f t="shared" si="3"/>
        <v>3493986</v>
      </c>
      <c r="P16" s="44">
        <f t="shared" si="0"/>
        <v>9166163</v>
      </c>
      <c r="S16" s="1009"/>
      <c r="T16" s="1010"/>
      <c r="U16" s="1010"/>
      <c r="V16" s="1011"/>
      <c r="W16" s="177" t="s">
        <v>5</v>
      </c>
      <c r="X16" s="178" t="s">
        <v>6</v>
      </c>
      <c r="Y16" s="178" t="s">
        <v>7</v>
      </c>
      <c r="Z16" s="69" t="s">
        <v>5</v>
      </c>
      <c r="AA16" s="69" t="s">
        <v>6</v>
      </c>
      <c r="AB16" s="70" t="s">
        <v>7</v>
      </c>
      <c r="AC16" s="68"/>
      <c r="AE16" s="213"/>
      <c r="AF16" s="213"/>
      <c r="AG16" s="213"/>
      <c r="AH16" s="213"/>
      <c r="AI16" s="215"/>
      <c r="AJ16" s="215"/>
      <c r="AK16" s="215"/>
      <c r="AL16" s="215"/>
      <c r="AM16" s="215"/>
      <c r="AN16" s="215"/>
      <c r="AO16" s="68"/>
    </row>
    <row r="17" spans="1:41" ht="15" thickBot="1" x14ac:dyDescent="0.35">
      <c r="A17" s="1009"/>
      <c r="B17" s="1011"/>
      <c r="C17" s="177" t="s">
        <v>42</v>
      </c>
      <c r="D17" s="178" t="s">
        <v>43</v>
      </c>
      <c r="E17" s="69" t="s">
        <v>42</v>
      </c>
      <c r="F17" s="70" t="s">
        <v>43</v>
      </c>
      <c r="G17" s="68"/>
      <c r="L17" s="217" t="s">
        <v>67</v>
      </c>
      <c r="M17" s="218">
        <f>M18+M19</f>
        <v>208773</v>
      </c>
      <c r="N17" s="218">
        <f>N18+N19</f>
        <v>479378</v>
      </c>
      <c r="O17" s="218">
        <f>O18+O19</f>
        <v>614452</v>
      </c>
      <c r="P17" s="189">
        <f>SUM(M17:O17)</f>
        <v>1302603</v>
      </c>
      <c r="Q17" s="189">
        <f>P18+P19</f>
        <v>1302603</v>
      </c>
      <c r="S17" s="1012"/>
      <c r="T17" s="1013"/>
      <c r="U17" s="1013"/>
      <c r="V17" s="1014"/>
      <c r="W17" s="179" t="s">
        <v>40</v>
      </c>
      <c r="X17" s="180" t="s">
        <v>40</v>
      </c>
      <c r="Y17" s="180" t="s">
        <v>40</v>
      </c>
      <c r="Z17" s="71" t="s">
        <v>40</v>
      </c>
      <c r="AA17" s="71" t="s">
        <v>40</v>
      </c>
      <c r="AB17" s="72" t="s">
        <v>40</v>
      </c>
      <c r="AC17" s="68"/>
      <c r="AE17" s="213"/>
      <c r="AF17" s="213"/>
      <c r="AG17" s="213"/>
      <c r="AH17" s="213"/>
      <c r="AI17" s="215"/>
      <c r="AJ17" s="215"/>
      <c r="AK17" s="215"/>
      <c r="AL17" s="215"/>
      <c r="AM17" s="215"/>
      <c r="AN17" s="215"/>
      <c r="AO17" s="68"/>
    </row>
    <row r="18" spans="1:41" ht="15.6" thickTop="1" thickBot="1" x14ac:dyDescent="0.35">
      <c r="A18" s="1012"/>
      <c r="B18" s="1014"/>
      <c r="C18" s="179" t="s">
        <v>40</v>
      </c>
      <c r="D18" s="180" t="s">
        <v>40</v>
      </c>
      <c r="E18" s="71" t="s">
        <v>40</v>
      </c>
      <c r="F18" s="72" t="s">
        <v>40</v>
      </c>
      <c r="G18" s="68"/>
      <c r="L18" s="222" t="s">
        <v>68</v>
      </c>
      <c r="M18" s="223">
        <f>ROUNDUP(W19,0)</f>
        <v>99170</v>
      </c>
      <c r="N18" s="223">
        <f>ROUNDDOWN(X19,0)</f>
        <v>268811</v>
      </c>
      <c r="O18" s="224">
        <f>ROUND(Y19,0)</f>
        <v>304839</v>
      </c>
      <c r="P18" s="44">
        <f>SUM(M18:O18)</f>
        <v>672820</v>
      </c>
      <c r="S18" s="1000" t="s">
        <v>82</v>
      </c>
      <c r="T18" s="1003" t="s">
        <v>83</v>
      </c>
      <c r="U18" s="1003" t="s">
        <v>113</v>
      </c>
      <c r="V18" s="73" t="s">
        <v>58</v>
      </c>
      <c r="W18" s="236">
        <v>33556.960057070988</v>
      </c>
      <c r="X18" s="237">
        <v>76664.876656679597</v>
      </c>
      <c r="Y18" s="237">
        <v>99059.556022878794</v>
      </c>
      <c r="Z18" s="74">
        <v>0</v>
      </c>
      <c r="AA18" s="74">
        <v>0</v>
      </c>
      <c r="AB18" s="75">
        <v>2370.0069589999998</v>
      </c>
      <c r="AC18" s="68"/>
      <c r="AE18" s="214"/>
      <c r="AF18" s="214"/>
      <c r="AG18" s="214"/>
      <c r="AH18" s="176"/>
      <c r="AI18" s="216"/>
      <c r="AJ18" s="216"/>
      <c r="AK18" s="216"/>
      <c r="AL18" s="216"/>
      <c r="AM18" s="216"/>
      <c r="AN18" s="216"/>
      <c r="AO18" s="68"/>
    </row>
    <row r="19" spans="1:41" ht="15.6" thickTop="1" thickBot="1" x14ac:dyDescent="0.35">
      <c r="A19" s="1000" t="s">
        <v>112</v>
      </c>
      <c r="B19" s="73" t="s">
        <v>5</v>
      </c>
      <c r="C19" s="181">
        <v>1861095.6242984741</v>
      </c>
      <c r="D19" s="182">
        <v>175829.02766969914</v>
      </c>
      <c r="E19" s="74">
        <v>0</v>
      </c>
      <c r="F19" s="75">
        <v>0</v>
      </c>
      <c r="G19" s="68"/>
      <c r="L19" s="210" t="s">
        <v>69</v>
      </c>
      <c r="M19" s="211">
        <f>ROUND(W26,0)</f>
        <v>109603</v>
      </c>
      <c r="N19" s="211">
        <f>ROUND(X26,0)</f>
        <v>210567</v>
      </c>
      <c r="O19" s="212">
        <f>ROUND(Y26,0)</f>
        <v>309613</v>
      </c>
      <c r="P19" s="44">
        <f>SUM(M19:O19)</f>
        <v>629783</v>
      </c>
      <c r="S19" s="1001"/>
      <c r="T19" s="1004"/>
      <c r="U19" s="1004"/>
      <c r="V19" s="76" t="s">
        <v>59</v>
      </c>
      <c r="W19" s="238">
        <v>99169.469448305885</v>
      </c>
      <c r="X19" s="239">
        <v>268811.70841926913</v>
      </c>
      <c r="Y19" s="239">
        <v>304838.58184320875</v>
      </c>
      <c r="Z19" s="77">
        <v>0</v>
      </c>
      <c r="AA19" s="77">
        <v>0</v>
      </c>
      <c r="AB19" s="78">
        <v>4431.0366759999997</v>
      </c>
      <c r="AC19" s="68"/>
      <c r="AE19" s="214"/>
      <c r="AF19" s="214"/>
      <c r="AG19" s="214"/>
      <c r="AH19" s="176"/>
      <c r="AI19" s="216"/>
      <c r="AJ19" s="216"/>
      <c r="AK19" s="216"/>
      <c r="AL19" s="216"/>
      <c r="AM19" s="216"/>
      <c r="AN19" s="216"/>
      <c r="AO19" s="68"/>
    </row>
    <row r="20" spans="1:41" x14ac:dyDescent="0.3">
      <c r="A20" s="1001"/>
      <c r="B20" s="76" t="s">
        <v>6</v>
      </c>
      <c r="C20" s="183">
        <v>2975776.6226096777</v>
      </c>
      <c r="D20" s="184">
        <v>881838.05886220851</v>
      </c>
      <c r="E20" s="77">
        <v>0</v>
      </c>
      <c r="F20" s="78">
        <v>727.91403000000003</v>
      </c>
      <c r="G20" s="68"/>
      <c r="L20" s="217" t="s">
        <v>70</v>
      </c>
      <c r="M20" s="218">
        <f>M21+M22</f>
        <v>188314</v>
      </c>
      <c r="N20" s="218">
        <f>N21+N22</f>
        <v>474378</v>
      </c>
      <c r="O20" s="218">
        <f>O21+O22</f>
        <v>463546</v>
      </c>
      <c r="P20" s="189">
        <f t="shared" si="0"/>
        <v>1126238</v>
      </c>
      <c r="Q20" s="189">
        <f>P21+P22</f>
        <v>1126238</v>
      </c>
      <c r="S20" s="1001"/>
      <c r="T20" s="1004"/>
      <c r="U20" s="1004"/>
      <c r="V20" s="76" t="s">
        <v>60</v>
      </c>
      <c r="W20" s="238">
        <v>96854.277746818247</v>
      </c>
      <c r="X20" s="239">
        <v>234402.08693316198</v>
      </c>
      <c r="Y20" s="239">
        <v>239861.43762132671</v>
      </c>
      <c r="Z20" s="77">
        <v>0</v>
      </c>
      <c r="AA20" s="77">
        <v>0</v>
      </c>
      <c r="AB20" s="78">
        <v>828.581593</v>
      </c>
      <c r="AC20" s="68"/>
      <c r="AE20" s="214"/>
      <c r="AF20" s="214"/>
      <c r="AG20" s="214"/>
      <c r="AH20" s="176"/>
      <c r="AI20" s="216"/>
      <c r="AJ20" s="216"/>
      <c r="AK20" s="216"/>
      <c r="AL20" s="216"/>
      <c r="AM20" s="216"/>
      <c r="AN20" s="216"/>
      <c r="AO20" s="68"/>
    </row>
    <row r="21" spans="1:41" ht="15" thickBot="1" x14ac:dyDescent="0.35">
      <c r="A21" s="1002"/>
      <c r="B21" s="79" t="s">
        <v>7</v>
      </c>
      <c r="C21" s="185">
        <v>1798851.4066198166</v>
      </c>
      <c r="D21" s="186">
        <v>1892252.0228281715</v>
      </c>
      <c r="E21" s="80">
        <v>0</v>
      </c>
      <c r="F21" s="81">
        <v>52876.320778000045</v>
      </c>
      <c r="G21" s="68"/>
      <c r="L21" s="222" t="s">
        <v>74</v>
      </c>
      <c r="M21" s="223">
        <f>ROUND(W20,0)</f>
        <v>96854</v>
      </c>
      <c r="N21" s="223">
        <f>ROUND(X20,0)</f>
        <v>234402</v>
      </c>
      <c r="O21" s="224">
        <f>ROUNDUP(Y20,0)</f>
        <v>239862</v>
      </c>
      <c r="P21" s="44">
        <f t="shared" si="0"/>
        <v>571118</v>
      </c>
      <c r="S21" s="1001"/>
      <c r="T21" s="1004"/>
      <c r="U21" s="1004"/>
      <c r="V21" s="76" t="s">
        <v>61</v>
      </c>
      <c r="W21" s="238">
        <v>139112.3249573044</v>
      </c>
      <c r="X21" s="239">
        <v>301945.04796205001</v>
      </c>
      <c r="Y21" s="239">
        <v>282914.7877055835</v>
      </c>
      <c r="Z21" s="77">
        <v>0</v>
      </c>
      <c r="AA21" s="77">
        <v>0</v>
      </c>
      <c r="AB21" s="78">
        <v>9281.449595</v>
      </c>
      <c r="AC21" s="68"/>
      <c r="AE21" s="214"/>
      <c r="AF21" s="214"/>
      <c r="AG21" s="214"/>
      <c r="AH21" s="176"/>
      <c r="AI21" s="216"/>
      <c r="AJ21" s="216"/>
      <c r="AK21" s="216"/>
      <c r="AL21" s="216"/>
      <c r="AM21" s="216"/>
      <c r="AN21" s="216"/>
      <c r="AO21" s="68"/>
    </row>
    <row r="22" spans="1:41" ht="15.6" thickTop="1" thickBot="1" x14ac:dyDescent="0.35">
      <c r="D22" s="189">
        <f>SUM(C19:D21)</f>
        <v>9585642.762888046</v>
      </c>
      <c r="L22" s="210" t="s">
        <v>75</v>
      </c>
      <c r="M22" s="211">
        <f>ROUND(W27,0)</f>
        <v>91460</v>
      </c>
      <c r="N22" s="211">
        <f>ROUND(X27,0)</f>
        <v>239976</v>
      </c>
      <c r="O22" s="212">
        <f>ROUND(Y27,0)</f>
        <v>223684</v>
      </c>
      <c r="P22" s="44">
        <f t="shared" si="0"/>
        <v>555120</v>
      </c>
      <c r="S22" s="1001"/>
      <c r="T22" s="1004"/>
      <c r="U22" s="1004"/>
      <c r="V22" s="76" t="s">
        <v>62</v>
      </c>
      <c r="W22" s="238">
        <v>167414.56811091836</v>
      </c>
      <c r="X22" s="239">
        <v>318414.69467214181</v>
      </c>
      <c r="Y22" s="239">
        <v>389667.03218498535</v>
      </c>
      <c r="Z22" s="77">
        <v>0</v>
      </c>
      <c r="AA22" s="77">
        <v>0</v>
      </c>
      <c r="AB22" s="78">
        <v>4829.3822110000001</v>
      </c>
      <c r="AC22" s="68"/>
      <c r="AE22" s="214"/>
      <c r="AF22" s="214"/>
      <c r="AG22" s="214"/>
      <c r="AH22" s="176"/>
      <c r="AI22" s="216"/>
      <c r="AJ22" s="216"/>
      <c r="AK22" s="216"/>
      <c r="AL22" s="216"/>
      <c r="AM22" s="216"/>
      <c r="AN22" s="216"/>
      <c r="AO22" s="68"/>
    </row>
    <row r="23" spans="1:41" x14ac:dyDescent="0.3">
      <c r="L23" s="217" t="s">
        <v>71</v>
      </c>
      <c r="M23" s="218">
        <f>M24+M25</f>
        <v>282386</v>
      </c>
      <c r="N23" s="218">
        <f>N24+N25</f>
        <v>586632</v>
      </c>
      <c r="O23" s="218">
        <f>O24+O25</f>
        <v>569478</v>
      </c>
      <c r="P23" s="189">
        <f t="shared" si="0"/>
        <v>1438496</v>
      </c>
      <c r="Q23" s="189">
        <f>P24+P25</f>
        <v>1438496</v>
      </c>
      <c r="S23" s="1001"/>
      <c r="T23" s="1004"/>
      <c r="U23" s="1004"/>
      <c r="V23" s="76" t="s">
        <v>63</v>
      </c>
      <c r="W23" s="238">
        <v>152315.98336354498</v>
      </c>
      <c r="X23" s="239">
        <v>299001.65203326388</v>
      </c>
      <c r="Y23" s="239">
        <v>244603.00147147157</v>
      </c>
      <c r="Z23" s="77">
        <v>0</v>
      </c>
      <c r="AA23" s="77">
        <v>0</v>
      </c>
      <c r="AB23" s="78">
        <v>2236.817219</v>
      </c>
      <c r="AC23" s="323">
        <f>SUM(W19:AB24)</f>
        <v>4481027.9948291145</v>
      </c>
      <c r="AE23" s="214"/>
      <c r="AF23" s="214"/>
      <c r="AG23" s="214"/>
      <c r="AH23" s="176"/>
      <c r="AI23" s="216"/>
      <c r="AJ23" s="216"/>
      <c r="AK23" s="216"/>
      <c r="AL23" s="216"/>
      <c r="AM23" s="216"/>
      <c r="AN23" s="216"/>
      <c r="AO23" s="68"/>
    </row>
    <row r="24" spans="1:41" ht="15" thickBot="1" x14ac:dyDescent="0.35">
      <c r="L24" s="222" t="s">
        <v>76</v>
      </c>
      <c r="M24" s="223">
        <f>ROUND(W21,0)</f>
        <v>139112</v>
      </c>
      <c r="N24" s="223">
        <f>ROUND(X21,0)</f>
        <v>301945</v>
      </c>
      <c r="O24" s="224">
        <f>ROUND(Y21,0)</f>
        <v>282915</v>
      </c>
      <c r="P24" s="44">
        <f t="shared" si="0"/>
        <v>723972</v>
      </c>
      <c r="S24" s="1001"/>
      <c r="T24" s="1004"/>
      <c r="U24" s="1004"/>
      <c r="V24" s="76" t="s">
        <v>108</v>
      </c>
      <c r="W24" s="238">
        <v>252955.11400966707</v>
      </c>
      <c r="X24" s="239">
        <v>386507.34741600871</v>
      </c>
      <c r="Y24" s="239">
        <v>275970.038331085</v>
      </c>
      <c r="Z24" s="77">
        <v>0</v>
      </c>
      <c r="AA24" s="77">
        <v>0</v>
      </c>
      <c r="AB24" s="78">
        <v>4661.5733049999999</v>
      </c>
      <c r="AC24" s="68"/>
      <c r="AE24" s="214"/>
      <c r="AF24" s="214"/>
      <c r="AG24" s="214"/>
      <c r="AH24" s="176"/>
      <c r="AI24" s="216"/>
      <c r="AJ24" s="216"/>
      <c r="AK24" s="216"/>
      <c r="AL24" s="216"/>
      <c r="AM24" s="216"/>
      <c r="AN24" s="216"/>
      <c r="AO24" s="68"/>
    </row>
    <row r="25" spans="1:41" ht="15.6" thickTop="1" thickBot="1" x14ac:dyDescent="0.35">
      <c r="A25" s="1006"/>
      <c r="B25" s="1007"/>
      <c r="C25" s="1007"/>
      <c r="D25" s="1008"/>
      <c r="E25" s="1015" t="s">
        <v>41</v>
      </c>
      <c r="F25" s="1016"/>
      <c r="G25" s="1016"/>
      <c r="H25" s="1017"/>
      <c r="I25" s="68"/>
      <c r="L25" s="210" t="s">
        <v>77</v>
      </c>
      <c r="M25" s="211">
        <f>ROUND(W28,0)</f>
        <v>143274</v>
      </c>
      <c r="N25" s="211">
        <f>ROUNDUP(X28,0)</f>
        <v>284687</v>
      </c>
      <c r="O25" s="212">
        <f>ROUND(Y28,0)</f>
        <v>286563</v>
      </c>
      <c r="P25" s="44">
        <f t="shared" si="0"/>
        <v>714524</v>
      </c>
      <c r="S25" s="1001"/>
      <c r="T25" s="1004" t="s">
        <v>84</v>
      </c>
      <c r="U25" s="1004" t="s">
        <v>113</v>
      </c>
      <c r="V25" s="76" t="s">
        <v>58</v>
      </c>
      <c r="W25" s="238">
        <v>40647.047863131214</v>
      </c>
      <c r="X25" s="239">
        <v>71493.084883579737</v>
      </c>
      <c r="Y25" s="239">
        <v>98058.51436230744</v>
      </c>
      <c r="Z25" s="77">
        <v>0</v>
      </c>
      <c r="AA25" s="77">
        <v>0</v>
      </c>
      <c r="AB25" s="78">
        <v>1519.3805560000001</v>
      </c>
      <c r="AC25" s="68"/>
      <c r="AD25" s="324">
        <f>AC23+AC28</f>
        <v>9215877.570335377</v>
      </c>
      <c r="AE25" s="214"/>
      <c r="AF25" s="214"/>
      <c r="AG25" s="214"/>
      <c r="AH25" s="176"/>
      <c r="AI25" s="216"/>
      <c r="AJ25" s="216"/>
      <c r="AK25" s="216"/>
      <c r="AL25" s="216"/>
      <c r="AM25" s="216"/>
      <c r="AN25" s="216"/>
      <c r="AO25" s="68"/>
    </row>
    <row r="26" spans="1:41" x14ac:dyDescent="0.3">
      <c r="A26" s="1009"/>
      <c r="B26" s="1010"/>
      <c r="C26" s="1010"/>
      <c r="D26" s="1011"/>
      <c r="E26" s="1018" t="s">
        <v>42</v>
      </c>
      <c r="F26" s="1019"/>
      <c r="G26" s="998" t="s">
        <v>43</v>
      </c>
      <c r="H26" s="999"/>
      <c r="I26" s="68"/>
      <c r="L26" s="217" t="s">
        <v>87</v>
      </c>
      <c r="M26" s="218">
        <f>M27+M28</f>
        <v>361720</v>
      </c>
      <c r="N26" s="218">
        <f t="shared" ref="N26:O26" si="4">N27+N28</f>
        <v>711131</v>
      </c>
      <c r="O26" s="218">
        <f t="shared" si="4"/>
        <v>775885</v>
      </c>
      <c r="P26" s="189">
        <f t="shared" si="0"/>
        <v>1848736</v>
      </c>
      <c r="Q26" s="189">
        <f>P27+P28</f>
        <v>1848736</v>
      </c>
      <c r="S26" s="1001"/>
      <c r="T26" s="1004"/>
      <c r="U26" s="1004"/>
      <c r="V26" s="76" t="s">
        <v>59</v>
      </c>
      <c r="W26" s="238">
        <v>109602.95540688196</v>
      </c>
      <c r="X26" s="239">
        <v>210567.4037139756</v>
      </c>
      <c r="Y26" s="239">
        <v>309613.31175145489</v>
      </c>
      <c r="Z26" s="77">
        <v>0</v>
      </c>
      <c r="AA26" s="77">
        <v>0</v>
      </c>
      <c r="AB26" s="78">
        <v>1487.6043079999999</v>
      </c>
      <c r="AC26" s="68"/>
      <c r="AE26" s="214"/>
      <c r="AF26" s="214"/>
      <c r="AG26" s="214"/>
      <c r="AH26" s="176"/>
      <c r="AI26" s="216"/>
      <c r="AJ26" s="216"/>
      <c r="AK26" s="216"/>
      <c r="AL26" s="216"/>
      <c r="AM26" s="216"/>
      <c r="AN26" s="216"/>
      <c r="AO26" s="68"/>
    </row>
    <row r="27" spans="1:41" x14ac:dyDescent="0.3">
      <c r="A27" s="1009"/>
      <c r="B27" s="1010"/>
      <c r="C27" s="1010"/>
      <c r="D27" s="1011"/>
      <c r="E27" s="1018" t="s">
        <v>49</v>
      </c>
      <c r="F27" s="1019"/>
      <c r="G27" s="998" t="s">
        <v>49</v>
      </c>
      <c r="H27" s="999"/>
      <c r="I27" s="68"/>
      <c r="L27" s="222" t="s">
        <v>86</v>
      </c>
      <c r="M27" s="223">
        <f>ROUND(W22,0)</f>
        <v>167415</v>
      </c>
      <c r="N27" s="223">
        <f>ROUND(X22,0)</f>
        <v>318415</v>
      </c>
      <c r="O27" s="224">
        <f>ROUND(Y22,0)</f>
        <v>389667</v>
      </c>
      <c r="P27" s="44">
        <f t="shared" si="0"/>
        <v>875497</v>
      </c>
      <c r="S27" s="1001"/>
      <c r="T27" s="1004"/>
      <c r="U27" s="1004"/>
      <c r="V27" s="76" t="s">
        <v>60</v>
      </c>
      <c r="W27" s="238">
        <v>91460.238941593678</v>
      </c>
      <c r="X27" s="239">
        <v>239976.01831705487</v>
      </c>
      <c r="Y27" s="239">
        <v>223684.4905655772</v>
      </c>
      <c r="Z27" s="77">
        <v>0</v>
      </c>
      <c r="AA27" s="77">
        <v>0</v>
      </c>
      <c r="AB27" s="78">
        <v>2588.048076</v>
      </c>
      <c r="AC27" s="68"/>
      <c r="AE27" s="214"/>
      <c r="AF27" s="214"/>
      <c r="AG27" s="214"/>
      <c r="AH27" s="176"/>
      <c r="AI27" s="216"/>
      <c r="AJ27" s="216"/>
      <c r="AK27" s="216"/>
      <c r="AL27" s="216"/>
      <c r="AM27" s="216"/>
      <c r="AN27" s="216"/>
      <c r="AO27" s="68"/>
    </row>
    <row r="28" spans="1:41" ht="15" thickBot="1" x14ac:dyDescent="0.35">
      <c r="A28" s="1009"/>
      <c r="B28" s="1010"/>
      <c r="C28" s="1010"/>
      <c r="D28" s="1011"/>
      <c r="E28" s="177" t="s">
        <v>42</v>
      </c>
      <c r="F28" s="178" t="s">
        <v>43</v>
      </c>
      <c r="G28" s="69" t="s">
        <v>42</v>
      </c>
      <c r="H28" s="70" t="s">
        <v>43</v>
      </c>
      <c r="I28" s="68"/>
      <c r="L28" s="210" t="s">
        <v>85</v>
      </c>
      <c r="M28" s="211">
        <f>ROUND(W29,0)</f>
        <v>194305</v>
      </c>
      <c r="N28" s="211">
        <f>ROUND(X29,0)</f>
        <v>392716</v>
      </c>
      <c r="O28" s="212">
        <f>ROUND(Y29,0)</f>
        <v>386218</v>
      </c>
      <c r="P28" s="44">
        <f t="shared" si="0"/>
        <v>973239</v>
      </c>
      <c r="S28" s="1001"/>
      <c r="T28" s="1004"/>
      <c r="U28" s="1004"/>
      <c r="V28" s="76" t="s">
        <v>61</v>
      </c>
      <c r="W28" s="238">
        <v>143273.51796649635</v>
      </c>
      <c r="X28" s="239">
        <v>284686.45717582147</v>
      </c>
      <c r="Y28" s="239">
        <v>286563.30371693539</v>
      </c>
      <c r="Z28" s="77">
        <v>0</v>
      </c>
      <c r="AA28" s="77">
        <v>727.91403000000003</v>
      </c>
      <c r="AB28" s="78">
        <v>6942.7586149999997</v>
      </c>
      <c r="AC28" s="323">
        <f>SUM(W26:AB31)</f>
        <v>4734849.5755062625</v>
      </c>
      <c r="AE28" s="214"/>
      <c r="AF28" s="214"/>
      <c r="AG28" s="214"/>
      <c r="AH28" s="176"/>
      <c r="AI28" s="216"/>
      <c r="AJ28" s="216"/>
      <c r="AK28" s="216"/>
      <c r="AL28" s="216"/>
      <c r="AM28" s="216"/>
      <c r="AN28" s="216"/>
      <c r="AO28" s="68"/>
    </row>
    <row r="29" spans="1:41" ht="15" thickBot="1" x14ac:dyDescent="0.35">
      <c r="A29" s="1012"/>
      <c r="B29" s="1013"/>
      <c r="C29" s="1013"/>
      <c r="D29" s="1014"/>
      <c r="E29" s="179" t="s">
        <v>40</v>
      </c>
      <c r="F29" s="180" t="s">
        <v>40</v>
      </c>
      <c r="G29" s="71" t="s">
        <v>40</v>
      </c>
      <c r="H29" s="72" t="s">
        <v>40</v>
      </c>
      <c r="I29" s="68"/>
      <c r="L29" s="217" t="s">
        <v>72</v>
      </c>
      <c r="M29" s="218">
        <f>M30+M31</f>
        <v>351894</v>
      </c>
      <c r="N29" s="218">
        <f t="shared" ref="N29:O29" si="5">N30+N31</f>
        <v>624585</v>
      </c>
      <c r="O29" s="218">
        <f t="shared" si="5"/>
        <v>525971</v>
      </c>
      <c r="P29" s="189">
        <f t="shared" si="0"/>
        <v>1502450</v>
      </c>
      <c r="Q29" s="189">
        <f>P30+P31</f>
        <v>1502450</v>
      </c>
      <c r="S29" s="1001"/>
      <c r="T29" s="1004"/>
      <c r="U29" s="1004"/>
      <c r="V29" s="76" t="s">
        <v>62</v>
      </c>
      <c r="W29" s="238">
        <v>194305.28213498823</v>
      </c>
      <c r="X29" s="239">
        <v>392715.81209166104</v>
      </c>
      <c r="Y29" s="239">
        <v>386217.7660202267</v>
      </c>
      <c r="Z29" s="77">
        <v>0</v>
      </c>
      <c r="AA29" s="77">
        <v>0</v>
      </c>
      <c r="AB29" s="78">
        <v>2215.0580690000002</v>
      </c>
      <c r="AC29" s="68"/>
      <c r="AE29" s="214"/>
      <c r="AF29" s="214"/>
      <c r="AG29" s="214"/>
      <c r="AH29" s="176"/>
      <c r="AI29" s="216"/>
      <c r="AJ29" s="216"/>
      <c r="AK29" s="216"/>
      <c r="AL29" s="216"/>
      <c r="AM29" s="216"/>
      <c r="AN29" s="216"/>
      <c r="AO29" s="68"/>
    </row>
    <row r="30" spans="1:41" ht="15" thickTop="1" x14ac:dyDescent="0.3">
      <c r="A30" s="1000" t="s">
        <v>112</v>
      </c>
      <c r="B30" s="1003" t="s">
        <v>5</v>
      </c>
      <c r="C30" s="1003" t="s">
        <v>113</v>
      </c>
      <c r="D30" s="73" t="s">
        <v>58</v>
      </c>
      <c r="E30" s="181">
        <v>70623.644514426764</v>
      </c>
      <c r="F30" s="182">
        <v>3580.3634057754516</v>
      </c>
      <c r="G30" s="74">
        <v>0</v>
      </c>
      <c r="H30" s="75">
        <v>0</v>
      </c>
      <c r="I30" s="68"/>
      <c r="L30" s="222" t="s">
        <v>78</v>
      </c>
      <c r="M30" s="223">
        <f>ROUND(W23,0)</f>
        <v>152316</v>
      </c>
      <c r="N30" s="223">
        <f>ROUND(X23,0)</f>
        <v>299002</v>
      </c>
      <c r="O30" s="224">
        <f>ROUND(Y23,0)</f>
        <v>244603</v>
      </c>
      <c r="P30" s="44">
        <f t="shared" si="0"/>
        <v>695921</v>
      </c>
      <c r="S30" s="1001"/>
      <c r="T30" s="1004"/>
      <c r="U30" s="1004"/>
      <c r="V30" s="76" t="s">
        <v>63</v>
      </c>
      <c r="W30" s="238">
        <v>199577.44394280395</v>
      </c>
      <c r="X30" s="239">
        <v>325583.17833333439</v>
      </c>
      <c r="Y30" s="239">
        <v>281367.57579197746</v>
      </c>
      <c r="Z30" s="77">
        <v>0</v>
      </c>
      <c r="AA30" s="77">
        <v>0</v>
      </c>
      <c r="AB30" s="78">
        <v>3107.652427</v>
      </c>
      <c r="AC30" s="68"/>
      <c r="AE30" s="214"/>
      <c r="AF30" s="214"/>
      <c r="AG30" s="214"/>
      <c r="AH30" s="176"/>
      <c r="AI30" s="216"/>
      <c r="AJ30" s="216"/>
      <c r="AK30" s="216"/>
      <c r="AL30" s="216"/>
      <c r="AM30" s="216"/>
      <c r="AN30" s="216"/>
      <c r="AO30" s="68"/>
    </row>
    <row r="31" spans="1:41" ht="15" thickBot="1" x14ac:dyDescent="0.35">
      <c r="A31" s="1001"/>
      <c r="B31" s="1004"/>
      <c r="C31" s="1004"/>
      <c r="D31" s="76" t="s">
        <v>59</v>
      </c>
      <c r="E31" s="183">
        <v>190071.73754528168</v>
      </c>
      <c r="F31" s="184">
        <v>18700.687309906061</v>
      </c>
      <c r="G31" s="77">
        <v>0</v>
      </c>
      <c r="H31" s="78">
        <v>0</v>
      </c>
      <c r="I31" s="68"/>
      <c r="L31" s="210" t="s">
        <v>79</v>
      </c>
      <c r="M31" s="211">
        <f>ROUNDUP(W30,0)</f>
        <v>199578</v>
      </c>
      <c r="N31" s="211">
        <f>ROUND(X30,0)</f>
        <v>325583</v>
      </c>
      <c r="O31" s="212">
        <f>ROUND(Y30,0)</f>
        <v>281368</v>
      </c>
      <c r="P31" s="44">
        <f t="shared" si="0"/>
        <v>806529</v>
      </c>
      <c r="S31" s="1002"/>
      <c r="T31" s="1005"/>
      <c r="U31" s="1005"/>
      <c r="V31" s="79" t="s">
        <v>108</v>
      </c>
      <c r="W31" s="240">
        <v>316679.46801866073</v>
      </c>
      <c r="X31" s="241">
        <v>446845.31286384771</v>
      </c>
      <c r="Y31" s="241">
        <v>268684.03205897077</v>
      </c>
      <c r="Z31" s="80">
        <v>0</v>
      </c>
      <c r="AA31" s="80">
        <v>0</v>
      </c>
      <c r="AB31" s="81">
        <v>6376.9711690000004</v>
      </c>
      <c r="AC31" s="68"/>
      <c r="AE31" s="214"/>
      <c r="AF31" s="214"/>
      <c r="AG31" s="214"/>
      <c r="AH31" s="176"/>
      <c r="AI31" s="216"/>
      <c r="AJ31" s="216"/>
      <c r="AK31" s="216"/>
      <c r="AL31" s="216"/>
      <c r="AM31" s="216"/>
      <c r="AN31" s="216"/>
      <c r="AO31" s="68"/>
    </row>
    <row r="32" spans="1:41" x14ac:dyDescent="0.3">
      <c r="A32" s="1001"/>
      <c r="B32" s="1004"/>
      <c r="C32" s="1004"/>
      <c r="D32" s="76" t="s">
        <v>60</v>
      </c>
      <c r="E32" s="183">
        <v>175832.86568329242</v>
      </c>
      <c r="F32" s="184">
        <v>12481.651005119676</v>
      </c>
      <c r="G32" s="77">
        <v>0</v>
      </c>
      <c r="H32" s="78">
        <v>0</v>
      </c>
      <c r="I32" s="68"/>
      <c r="L32" s="234" t="s">
        <v>73</v>
      </c>
      <c r="M32" s="235">
        <f>M33+M34</f>
        <v>569634</v>
      </c>
      <c r="N32" s="235">
        <f t="shared" ref="N32:O32" si="6">N33+N34</f>
        <v>833352</v>
      </c>
      <c r="O32" s="235">
        <f t="shared" si="6"/>
        <v>544654</v>
      </c>
      <c r="P32" s="189">
        <f t="shared" si="0"/>
        <v>1947640</v>
      </c>
      <c r="Q32" s="189">
        <f>P33+P34</f>
        <v>1947640</v>
      </c>
    </row>
    <row r="33" spans="1:27" x14ac:dyDescent="0.3">
      <c r="A33" s="1001"/>
      <c r="B33" s="1004"/>
      <c r="C33" s="1004"/>
      <c r="D33" s="76" t="s">
        <v>61</v>
      </c>
      <c r="E33" s="183">
        <v>256629.01209040187</v>
      </c>
      <c r="F33" s="184">
        <v>25756.83083340036</v>
      </c>
      <c r="G33" s="77">
        <v>0</v>
      </c>
      <c r="H33" s="78">
        <v>0</v>
      </c>
      <c r="I33" s="68"/>
      <c r="L33" s="222" t="s">
        <v>80</v>
      </c>
      <c r="M33" s="223">
        <f>ROUND(W24,0)</f>
        <v>252955</v>
      </c>
      <c r="N33" s="223">
        <f>ROUND(X24,0)</f>
        <v>386507</v>
      </c>
      <c r="O33" s="224">
        <f>ROUND(Y24,0)</f>
        <v>275970</v>
      </c>
      <c r="P33" s="44">
        <f t="shared" si="0"/>
        <v>915432</v>
      </c>
    </row>
    <row r="34" spans="1:27" ht="15" thickBot="1" x14ac:dyDescent="0.35">
      <c r="A34" s="1001"/>
      <c r="B34" s="1004"/>
      <c r="C34" s="1004"/>
      <c r="D34" s="76" t="s">
        <v>62</v>
      </c>
      <c r="E34" s="183">
        <v>321384.36497962225</v>
      </c>
      <c r="F34" s="184">
        <v>40335.485266284406</v>
      </c>
      <c r="G34" s="77">
        <v>0</v>
      </c>
      <c r="H34" s="78">
        <v>0</v>
      </c>
      <c r="I34" s="68"/>
      <c r="L34" s="210" t="s">
        <v>81</v>
      </c>
      <c r="M34" s="211">
        <f>ROUND(W31,0)</f>
        <v>316679</v>
      </c>
      <c r="N34" s="211">
        <f>ROUND(X31,0)</f>
        <v>446845</v>
      </c>
      <c r="O34" s="212">
        <f>ROUND(Y31,0)</f>
        <v>268684</v>
      </c>
      <c r="P34" s="44">
        <f t="shared" si="0"/>
        <v>1032208</v>
      </c>
      <c r="W34" s="44">
        <f>SUM(W28:W31)</f>
        <v>853835.71206294931</v>
      </c>
      <c r="X34" s="44">
        <f t="shared" ref="X34:Y34" si="7">SUM(X28:X31)</f>
        <v>1449830.7604646645</v>
      </c>
      <c r="Y34" s="44">
        <f t="shared" si="7"/>
        <v>1222832.6775881103</v>
      </c>
    </row>
    <row r="35" spans="1:27" ht="15" thickBot="1" x14ac:dyDescent="0.35">
      <c r="A35" s="1001"/>
      <c r="B35" s="1004"/>
      <c r="C35" s="1004"/>
      <c r="D35" s="76" t="s">
        <v>63</v>
      </c>
      <c r="E35" s="183">
        <v>323662.74101106054</v>
      </c>
      <c r="F35" s="184">
        <v>28230.686295288015</v>
      </c>
      <c r="G35" s="77">
        <v>0</v>
      </c>
      <c r="H35" s="78">
        <v>0</v>
      </c>
      <c r="I35" s="68"/>
      <c r="L35" s="140"/>
      <c r="M35" s="141"/>
      <c r="N35" s="141"/>
      <c r="O35" s="142"/>
      <c r="P35" s="44">
        <f t="shared" si="0"/>
        <v>0</v>
      </c>
      <c r="W35" s="44">
        <f>SUM(W21:W24)</f>
        <v>711797.99044143478</v>
      </c>
      <c r="X35" s="44">
        <f t="shared" ref="X35:Y35" si="8">SUM(X21:X24)</f>
        <v>1305868.7420834643</v>
      </c>
      <c r="Y35" s="44">
        <f t="shared" si="8"/>
        <v>1193154.8596931254</v>
      </c>
    </row>
    <row r="36" spans="1:27" x14ac:dyDescent="0.3">
      <c r="A36" s="1001"/>
      <c r="B36" s="1004"/>
      <c r="C36" s="1004"/>
      <c r="D36" s="76" t="s">
        <v>108</v>
      </c>
      <c r="E36" s="183">
        <v>522891.25847440411</v>
      </c>
      <c r="F36" s="184">
        <v>46743.323553925307</v>
      </c>
      <c r="G36" s="77">
        <v>0</v>
      </c>
      <c r="H36" s="78">
        <v>0</v>
      </c>
      <c r="I36" s="68"/>
      <c r="L36" s="207" t="s">
        <v>90</v>
      </c>
      <c r="M36" s="208">
        <f>ROUND(SUM(W21:W24),0)</f>
        <v>711798</v>
      </c>
      <c r="N36" s="208">
        <f>ROUND(SUM(X21:X24),0)</f>
        <v>1305869</v>
      </c>
      <c r="O36" s="209">
        <f>ROUND(SUM(Y21:Y24),0)</f>
        <v>1193155</v>
      </c>
      <c r="P36" s="44">
        <f>SUM(M36:O36)</f>
        <v>3210822</v>
      </c>
      <c r="Q36" s="187">
        <f>M24+M27+M30+M33</f>
        <v>711798</v>
      </c>
      <c r="R36" s="187">
        <f t="shared" ref="R36:S36" si="9">N24+N27+N30+N33</f>
        <v>1305869</v>
      </c>
      <c r="S36" s="187">
        <f t="shared" si="9"/>
        <v>1193155</v>
      </c>
      <c r="AA36" s="325">
        <f>SUM(W19:Y24,W26:Y31)</f>
        <v>9166162.7230423782</v>
      </c>
    </row>
    <row r="37" spans="1:27" ht="15" thickBot="1" x14ac:dyDescent="0.35">
      <c r="A37" s="1001"/>
      <c r="B37" s="1004" t="s">
        <v>6</v>
      </c>
      <c r="C37" s="1004" t="s">
        <v>113</v>
      </c>
      <c r="D37" s="76" t="s">
        <v>58</v>
      </c>
      <c r="E37" s="183">
        <v>119572.3052270452</v>
      </c>
      <c r="F37" s="184">
        <v>28585.656313214211</v>
      </c>
      <c r="G37" s="77">
        <v>0</v>
      </c>
      <c r="H37" s="78">
        <v>0</v>
      </c>
      <c r="I37" s="68"/>
      <c r="L37" s="210" t="s">
        <v>89</v>
      </c>
      <c r="M37" s="211">
        <f>ROUND(SUM(W28:W31),0)</f>
        <v>853836</v>
      </c>
      <c r="N37" s="211">
        <f>ROUND(SUM(X28:X31),0)</f>
        <v>1449831</v>
      </c>
      <c r="O37" s="212">
        <f>ROUND(SUM(Y28:Y31),0)</f>
        <v>1222833</v>
      </c>
      <c r="P37" s="44">
        <f>SUM(M37:O37)</f>
        <v>3526500</v>
      </c>
      <c r="Q37" s="187">
        <f>M25+M28+M31+M34</f>
        <v>853836</v>
      </c>
      <c r="R37" s="187">
        <f t="shared" ref="R37:S37" si="10">N25+N28+N31+N34</f>
        <v>1449831</v>
      </c>
      <c r="S37" s="187">
        <f t="shared" si="10"/>
        <v>1222833</v>
      </c>
    </row>
    <row r="38" spans="1:27" x14ac:dyDescent="0.3">
      <c r="A38" s="1001"/>
      <c r="B38" s="1004"/>
      <c r="C38" s="1004"/>
      <c r="D38" s="76" t="s">
        <v>59</v>
      </c>
      <c r="E38" s="183">
        <v>374215.09207077889</v>
      </c>
      <c r="F38" s="184">
        <v>105164.02006246558</v>
      </c>
      <c r="G38" s="77">
        <v>0</v>
      </c>
      <c r="H38" s="78">
        <v>0</v>
      </c>
      <c r="I38" s="68"/>
      <c r="P38" s="189">
        <f>P36+P37</f>
        <v>6737322</v>
      </c>
      <c r="Q38" s="44">
        <f>M36-Q36</f>
        <v>0</v>
      </c>
      <c r="R38" s="44">
        <f t="shared" ref="R38:S38" si="11">N36-R36</f>
        <v>0</v>
      </c>
      <c r="S38" s="44">
        <f t="shared" si="11"/>
        <v>0</v>
      </c>
      <c r="T38" s="213"/>
      <c r="U38" s="213"/>
      <c r="V38" s="213"/>
      <c r="W38" s="213"/>
      <c r="X38" s="213"/>
      <c r="Y38" s="68"/>
    </row>
    <row r="39" spans="1:27" x14ac:dyDescent="0.3">
      <c r="A39" s="1001"/>
      <c r="B39" s="1004"/>
      <c r="C39" s="1004"/>
      <c r="D39" s="76" t="s">
        <v>60</v>
      </c>
      <c r="E39" s="183">
        <v>381856.82805184933</v>
      </c>
      <c r="F39" s="184">
        <v>92521.277198366821</v>
      </c>
      <c r="G39" s="77">
        <v>0</v>
      </c>
      <c r="H39" s="78">
        <v>0</v>
      </c>
      <c r="I39" s="68"/>
      <c r="P39" s="44"/>
      <c r="Q39" s="44">
        <f>M37-Q37</f>
        <v>0</v>
      </c>
      <c r="R39" s="44">
        <f>N37-R37</f>
        <v>0</v>
      </c>
      <c r="S39" s="44">
        <f>O37-S37</f>
        <v>0</v>
      </c>
      <c r="T39" s="213"/>
      <c r="U39" s="213"/>
      <c r="V39" s="213"/>
      <c r="W39" s="213"/>
      <c r="X39" s="213"/>
      <c r="Y39" s="68"/>
    </row>
    <row r="40" spans="1:27" ht="15" customHeight="1" x14ac:dyDescent="0.3">
      <c r="A40" s="1001"/>
      <c r="B40" s="1004"/>
      <c r="C40" s="1004"/>
      <c r="D40" s="76" t="s">
        <v>61</v>
      </c>
      <c r="E40" s="183">
        <v>463234.83382573334</v>
      </c>
      <c r="F40" s="184">
        <v>123396.67131213595</v>
      </c>
      <c r="G40" s="77">
        <v>0</v>
      </c>
      <c r="H40" s="78">
        <v>727.91403000000003</v>
      </c>
      <c r="I40" s="68"/>
      <c r="M40" s="44">
        <f>M18+M21+M24+M27+M30+M33</f>
        <v>907822</v>
      </c>
      <c r="N40" s="44">
        <f>N18+N21+N24+N27+N30+N33</f>
        <v>1809082</v>
      </c>
      <c r="O40" s="44">
        <f>O18+O21+O24+O27+O30+O33</f>
        <v>1737856</v>
      </c>
      <c r="P40" s="44"/>
      <c r="Q40" s="189">
        <f>P23+P26+P29+P32</f>
        <v>6737322</v>
      </c>
      <c r="S40" s="213"/>
      <c r="T40" s="213"/>
      <c r="U40" s="213"/>
      <c r="V40" s="213"/>
      <c r="W40" s="213"/>
      <c r="X40" s="213"/>
      <c r="Y40" s="68"/>
    </row>
    <row r="41" spans="1:27" x14ac:dyDescent="0.3">
      <c r="A41" s="1001"/>
      <c r="B41" s="1004"/>
      <c r="C41" s="1004"/>
      <c r="D41" s="76" t="s">
        <v>62</v>
      </c>
      <c r="E41" s="183">
        <v>544483.16231741547</v>
      </c>
      <c r="F41" s="184">
        <v>166647.34444638749</v>
      </c>
      <c r="G41" s="77">
        <v>0</v>
      </c>
      <c r="H41" s="78">
        <v>0</v>
      </c>
      <c r="I41" s="68"/>
      <c r="M41" s="44">
        <f>M19+M22+M25+M28+M31+M34</f>
        <v>1054899</v>
      </c>
      <c r="N41" s="44">
        <f>N19+N22+N25+N28+N31+N34</f>
        <v>1900374</v>
      </c>
      <c r="O41" s="44">
        <f t="shared" ref="O41" si="12">O19+O22+O25+O28+O31+O34</f>
        <v>1756130</v>
      </c>
      <c r="S41" s="213"/>
      <c r="T41" s="213"/>
      <c r="U41" s="215"/>
      <c r="V41" s="215"/>
      <c r="W41" s="215"/>
      <c r="X41" s="215"/>
      <c r="Y41" s="68"/>
    </row>
    <row r="42" spans="1:27" x14ac:dyDescent="0.3">
      <c r="A42" s="1001"/>
      <c r="B42" s="1004"/>
      <c r="C42" s="1004"/>
      <c r="D42" s="76" t="s">
        <v>63</v>
      </c>
      <c r="E42" s="183">
        <v>487455.42161823623</v>
      </c>
      <c r="F42" s="184">
        <v>137129.40874836151</v>
      </c>
      <c r="G42" s="77">
        <v>0</v>
      </c>
      <c r="H42" s="78">
        <v>0</v>
      </c>
      <c r="I42" s="68"/>
      <c r="S42" s="213"/>
      <c r="T42" s="213"/>
      <c r="U42" s="215"/>
      <c r="V42" s="215"/>
      <c r="W42" s="215"/>
      <c r="X42" s="215"/>
      <c r="Y42" s="68"/>
    </row>
    <row r="43" spans="1:27" x14ac:dyDescent="0.3">
      <c r="A43" s="1001"/>
      <c r="B43" s="1004"/>
      <c r="C43" s="1004"/>
      <c r="D43" s="76" t="s">
        <v>108</v>
      </c>
      <c r="E43" s="183">
        <v>604958.9794985808</v>
      </c>
      <c r="F43" s="184">
        <v>228393.68078127594</v>
      </c>
      <c r="G43" s="77">
        <v>0</v>
      </c>
      <c r="H43" s="78">
        <v>0</v>
      </c>
      <c r="I43" s="68"/>
      <c r="S43" s="214"/>
      <c r="T43" s="176"/>
      <c r="U43" s="216"/>
      <c r="V43" s="216"/>
      <c r="W43" s="216"/>
      <c r="X43" s="216"/>
      <c r="Y43" s="68"/>
    </row>
    <row r="44" spans="1:27" x14ac:dyDescent="0.3">
      <c r="A44" s="1001"/>
      <c r="B44" s="1004" t="s">
        <v>7</v>
      </c>
      <c r="C44" s="1004" t="s">
        <v>113</v>
      </c>
      <c r="D44" s="76" t="s">
        <v>58</v>
      </c>
      <c r="E44" s="183">
        <v>108025.89682714833</v>
      </c>
      <c r="F44" s="184">
        <v>89092.173558037903</v>
      </c>
      <c r="G44" s="77">
        <v>0</v>
      </c>
      <c r="H44" s="78">
        <v>3889.3875149999999</v>
      </c>
      <c r="I44" s="68"/>
      <c r="S44" s="214"/>
      <c r="T44" s="176"/>
      <c r="U44" s="216"/>
      <c r="V44" s="216"/>
      <c r="W44" s="216"/>
      <c r="X44" s="216"/>
      <c r="Y44" s="68"/>
    </row>
    <row r="45" spans="1:27" x14ac:dyDescent="0.3">
      <c r="A45" s="1001"/>
      <c r="B45" s="1004"/>
      <c r="C45" s="1004"/>
      <c r="D45" s="76" t="s">
        <v>59</v>
      </c>
      <c r="E45" s="183">
        <v>292836.10544414469</v>
      </c>
      <c r="F45" s="184">
        <v>321615.78815051896</v>
      </c>
      <c r="G45" s="77">
        <v>0</v>
      </c>
      <c r="H45" s="78">
        <v>5918.6409839999997</v>
      </c>
      <c r="I45" s="68"/>
      <c r="S45" s="214"/>
      <c r="T45" s="176"/>
      <c r="U45" s="216"/>
      <c r="V45" s="216"/>
      <c r="W45" s="216"/>
      <c r="X45" s="216"/>
      <c r="Y45" s="68"/>
    </row>
    <row r="46" spans="1:27" x14ac:dyDescent="0.3">
      <c r="A46" s="1001"/>
      <c r="B46" s="1004"/>
      <c r="C46" s="1004"/>
      <c r="D46" s="76" t="s">
        <v>60</v>
      </c>
      <c r="E46" s="183">
        <v>231660.26179682146</v>
      </c>
      <c r="F46" s="184">
        <v>231885.66639008248</v>
      </c>
      <c r="G46" s="77">
        <v>0</v>
      </c>
      <c r="H46" s="78">
        <v>3416.6296689999999</v>
      </c>
      <c r="I46" s="68"/>
      <c r="V46" s="44"/>
    </row>
    <row r="47" spans="1:27" x14ac:dyDescent="0.3">
      <c r="A47" s="1001"/>
      <c r="B47" s="1004"/>
      <c r="C47" s="1004"/>
      <c r="D47" s="76" t="s">
        <v>61</v>
      </c>
      <c r="E47" s="183">
        <v>274782.29623436014</v>
      </c>
      <c r="F47" s="184">
        <v>294695.79518815863</v>
      </c>
      <c r="G47" s="77">
        <v>0</v>
      </c>
      <c r="H47" s="78">
        <v>16224.208210000001</v>
      </c>
      <c r="I47" s="68"/>
    </row>
    <row r="48" spans="1:27" x14ac:dyDescent="0.3">
      <c r="A48" s="1001"/>
      <c r="B48" s="1004"/>
      <c r="C48" s="1004"/>
      <c r="D48" s="76" t="s">
        <v>62</v>
      </c>
      <c r="E48" s="183">
        <v>400243.26358735154</v>
      </c>
      <c r="F48" s="184">
        <v>375641.53461785999</v>
      </c>
      <c r="G48" s="77">
        <v>0</v>
      </c>
      <c r="H48" s="78">
        <v>7044.4402799999998</v>
      </c>
      <c r="I48" s="68"/>
    </row>
    <row r="49" spans="1:9" x14ac:dyDescent="0.3">
      <c r="A49" s="1001"/>
      <c r="B49" s="1004"/>
      <c r="C49" s="1004"/>
      <c r="D49" s="76" t="s">
        <v>63</v>
      </c>
      <c r="E49" s="183">
        <v>243279.01128588346</v>
      </c>
      <c r="F49" s="184">
        <v>282691.56597756554</v>
      </c>
      <c r="G49" s="77">
        <v>0</v>
      </c>
      <c r="H49" s="78">
        <v>5344.4696459999996</v>
      </c>
      <c r="I49" s="68"/>
    </row>
    <row r="50" spans="1:9" ht="15" thickBot="1" x14ac:dyDescent="0.35">
      <c r="A50" s="1002"/>
      <c r="B50" s="1005"/>
      <c r="C50" s="1005"/>
      <c r="D50" s="79" t="s">
        <v>108</v>
      </c>
      <c r="E50" s="185">
        <v>248024.57144410774</v>
      </c>
      <c r="F50" s="186">
        <v>296629.49894594814</v>
      </c>
      <c r="G50" s="80">
        <v>0</v>
      </c>
      <c r="H50" s="81">
        <v>11038.544474</v>
      </c>
      <c r="I50" s="68"/>
    </row>
    <row r="55" spans="1:9" x14ac:dyDescent="0.3">
      <c r="A55" s="213"/>
      <c r="B55" s="213"/>
      <c r="C55" s="213"/>
      <c r="D55" s="213"/>
      <c r="E55" s="213"/>
      <c r="F55" s="213"/>
      <c r="G55" s="213"/>
      <c r="H55" s="213"/>
      <c r="I55" s="68"/>
    </row>
    <row r="56" spans="1:9" x14ac:dyDescent="0.3">
      <c r="A56" s="213"/>
      <c r="B56" s="213"/>
      <c r="C56" s="213"/>
      <c r="D56" s="213"/>
      <c r="E56" s="213"/>
      <c r="F56" s="213"/>
      <c r="G56" s="213"/>
      <c r="H56" s="213"/>
      <c r="I56" s="68"/>
    </row>
    <row r="57" spans="1:9" x14ac:dyDescent="0.3">
      <c r="A57" s="213"/>
      <c r="B57" s="213"/>
      <c r="C57" s="213"/>
      <c r="D57" s="213"/>
      <c r="E57" s="213"/>
      <c r="F57" s="213"/>
      <c r="G57" s="213"/>
      <c r="H57" s="213"/>
      <c r="I57" s="68"/>
    </row>
    <row r="58" spans="1:9" x14ac:dyDescent="0.3">
      <c r="A58" s="213"/>
      <c r="B58" s="213"/>
      <c r="C58" s="213"/>
      <c r="D58" s="213"/>
      <c r="E58" s="215"/>
      <c r="F58" s="215"/>
      <c r="G58" s="215"/>
      <c r="H58" s="215"/>
      <c r="I58" s="68"/>
    </row>
    <row r="59" spans="1:9" x14ac:dyDescent="0.3">
      <c r="A59" s="213"/>
      <c r="B59" s="213"/>
      <c r="C59" s="213"/>
      <c r="D59" s="213"/>
      <c r="E59" s="215"/>
      <c r="F59" s="215"/>
      <c r="G59" s="215"/>
      <c r="H59" s="215"/>
      <c r="I59" s="68"/>
    </row>
    <row r="60" spans="1:9" x14ac:dyDescent="0.3">
      <c r="A60" s="214"/>
      <c r="B60" s="214"/>
      <c r="C60" s="214"/>
      <c r="D60" s="176"/>
      <c r="E60" s="216"/>
      <c r="F60" s="216"/>
      <c r="G60" s="216"/>
      <c r="H60" s="216"/>
      <c r="I60" s="68"/>
    </row>
    <row r="61" spans="1:9" x14ac:dyDescent="0.3">
      <c r="A61" s="214"/>
      <c r="B61" s="214"/>
      <c r="C61" s="214"/>
      <c r="D61" s="176"/>
      <c r="E61" s="216"/>
      <c r="F61" s="216"/>
      <c r="G61" s="216"/>
      <c r="H61" s="216"/>
      <c r="I61" s="68"/>
    </row>
    <row r="62" spans="1:9" x14ac:dyDescent="0.3">
      <c r="A62" s="214"/>
      <c r="B62" s="214"/>
      <c r="C62" s="214"/>
      <c r="D62" s="176"/>
      <c r="E62" s="216"/>
      <c r="F62" s="216"/>
      <c r="G62" s="216"/>
      <c r="H62" s="216"/>
      <c r="I62" s="68"/>
    </row>
    <row r="63" spans="1:9" x14ac:dyDescent="0.3">
      <c r="A63" s="214"/>
      <c r="B63" s="214"/>
      <c r="C63" s="214"/>
      <c r="D63" s="176"/>
      <c r="E63" s="216"/>
      <c r="F63" s="216"/>
      <c r="G63" s="216"/>
      <c r="H63" s="216"/>
      <c r="I63" s="68"/>
    </row>
    <row r="64" spans="1:9" x14ac:dyDescent="0.3">
      <c r="A64" s="214"/>
      <c r="B64" s="214"/>
      <c r="C64" s="214"/>
      <c r="D64" s="176"/>
      <c r="E64" s="216"/>
      <c r="F64" s="216"/>
      <c r="G64" s="216"/>
      <c r="H64" s="216"/>
      <c r="I64" s="68"/>
    </row>
    <row r="65" spans="1:9" x14ac:dyDescent="0.3">
      <c r="A65" s="214"/>
      <c r="B65" s="214"/>
      <c r="C65" s="214"/>
      <c r="D65" s="176"/>
      <c r="E65" s="216"/>
      <c r="F65" s="216"/>
      <c r="G65" s="216"/>
      <c r="H65" s="216"/>
      <c r="I65" s="68"/>
    </row>
    <row r="66" spans="1:9" x14ac:dyDescent="0.3">
      <c r="A66" s="214"/>
      <c r="B66" s="214"/>
      <c r="C66" s="214"/>
      <c r="D66" s="176"/>
      <c r="E66" s="216"/>
      <c r="F66" s="216"/>
      <c r="G66" s="216"/>
      <c r="H66" s="216"/>
      <c r="I66" s="68"/>
    </row>
    <row r="67" spans="1:9" x14ac:dyDescent="0.3">
      <c r="A67" s="214"/>
      <c r="B67" s="214"/>
      <c r="C67" s="214"/>
      <c r="D67" s="176"/>
      <c r="E67" s="216"/>
      <c r="F67" s="216"/>
      <c r="G67" s="216"/>
      <c r="H67" s="216"/>
      <c r="I67" s="68"/>
    </row>
    <row r="68" spans="1:9" x14ac:dyDescent="0.3">
      <c r="A68" s="214"/>
      <c r="B68" s="214"/>
      <c r="C68" s="214"/>
      <c r="D68" s="176"/>
      <c r="E68" s="216"/>
      <c r="F68" s="216"/>
      <c r="G68" s="216"/>
      <c r="H68" s="216"/>
      <c r="I68" s="68"/>
    </row>
    <row r="69" spans="1:9" x14ac:dyDescent="0.3">
      <c r="A69" s="214"/>
      <c r="B69" s="214"/>
      <c r="C69" s="214"/>
      <c r="D69" s="176"/>
      <c r="E69" s="216"/>
      <c r="F69" s="216"/>
      <c r="G69" s="216"/>
      <c r="H69" s="216"/>
      <c r="I69" s="68"/>
    </row>
    <row r="70" spans="1:9" x14ac:dyDescent="0.3">
      <c r="A70" s="214"/>
      <c r="B70" s="214"/>
      <c r="C70" s="214"/>
      <c r="D70" s="176"/>
      <c r="E70" s="216"/>
      <c r="F70" s="216"/>
      <c r="G70" s="216"/>
      <c r="H70" s="216"/>
      <c r="I70" s="68"/>
    </row>
    <row r="71" spans="1:9" x14ac:dyDescent="0.3">
      <c r="A71" s="214"/>
      <c r="B71" s="214"/>
      <c r="C71" s="214"/>
      <c r="D71" s="176"/>
      <c r="E71" s="216"/>
      <c r="F71" s="216"/>
      <c r="G71" s="216"/>
      <c r="H71" s="216"/>
      <c r="I71" s="68"/>
    </row>
    <row r="72" spans="1:9" x14ac:dyDescent="0.3">
      <c r="A72" s="214"/>
      <c r="B72" s="214"/>
      <c r="C72" s="214"/>
      <c r="D72" s="176"/>
      <c r="E72" s="216"/>
      <c r="F72" s="216"/>
      <c r="G72" s="216"/>
      <c r="H72" s="216"/>
      <c r="I72" s="68"/>
    </row>
    <row r="73" spans="1:9" x14ac:dyDescent="0.3">
      <c r="A73" s="214"/>
      <c r="B73" s="214"/>
      <c r="C73" s="214"/>
      <c r="D73" s="176"/>
      <c r="E73" s="216"/>
      <c r="F73" s="216"/>
      <c r="G73" s="216"/>
      <c r="H73" s="216"/>
      <c r="I73" s="68"/>
    </row>
    <row r="74" spans="1:9" x14ac:dyDescent="0.3">
      <c r="A74" s="214"/>
      <c r="B74" s="214"/>
      <c r="C74" s="214"/>
      <c r="D74" s="176"/>
      <c r="E74" s="216"/>
      <c r="F74" s="216"/>
      <c r="G74" s="216"/>
      <c r="H74" s="216"/>
      <c r="I74" s="68"/>
    </row>
    <row r="75" spans="1:9" x14ac:dyDescent="0.3">
      <c r="A75" s="214"/>
      <c r="B75" s="214"/>
      <c r="C75" s="214"/>
      <c r="D75" s="176"/>
      <c r="E75" s="216"/>
      <c r="F75" s="216"/>
      <c r="G75" s="216"/>
      <c r="H75" s="216"/>
      <c r="I75" s="68"/>
    </row>
    <row r="76" spans="1:9" x14ac:dyDescent="0.3">
      <c r="A76" s="214"/>
      <c r="B76" s="214"/>
      <c r="C76" s="214"/>
      <c r="D76" s="176"/>
      <c r="E76" s="216"/>
      <c r="F76" s="216"/>
      <c r="G76" s="216"/>
      <c r="H76" s="216"/>
      <c r="I76" s="68"/>
    </row>
    <row r="77" spans="1:9" x14ac:dyDescent="0.3">
      <c r="A77" s="214"/>
      <c r="B77" s="214"/>
      <c r="C77" s="214"/>
      <c r="D77" s="176"/>
      <c r="E77" s="216"/>
      <c r="F77" s="216"/>
      <c r="G77" s="216"/>
      <c r="H77" s="216"/>
      <c r="I77" s="68"/>
    </row>
    <row r="78" spans="1:9" x14ac:dyDescent="0.3">
      <c r="A78" s="214"/>
      <c r="B78" s="214"/>
      <c r="C78" s="214"/>
      <c r="D78" s="176"/>
      <c r="E78" s="216"/>
      <c r="F78" s="216"/>
      <c r="G78" s="216"/>
      <c r="H78" s="216"/>
      <c r="I78" s="68"/>
    </row>
    <row r="79" spans="1:9" x14ac:dyDescent="0.3">
      <c r="A79" s="214"/>
      <c r="B79" s="214"/>
      <c r="C79" s="214"/>
      <c r="D79" s="176"/>
      <c r="E79" s="216"/>
      <c r="F79" s="216"/>
      <c r="G79" s="216"/>
      <c r="H79" s="216"/>
      <c r="I79" s="68"/>
    </row>
    <row r="80" spans="1:9" x14ac:dyDescent="0.3">
      <c r="A80" s="214"/>
      <c r="B80" s="214"/>
      <c r="C80" s="214"/>
      <c r="D80" s="176"/>
      <c r="E80" s="216"/>
      <c r="F80" s="216"/>
      <c r="G80" s="216"/>
      <c r="H80" s="216"/>
      <c r="I80" s="68"/>
    </row>
  </sheetData>
  <sheetProtection selectLockedCells="1" selectUnlockedCells="1"/>
  <mergeCells count="40">
    <mergeCell ref="Q2:R2"/>
    <mergeCell ref="L1:P1"/>
    <mergeCell ref="A2:B6"/>
    <mergeCell ref="C2:F2"/>
    <mergeCell ref="C3:D3"/>
    <mergeCell ref="E3:F3"/>
    <mergeCell ref="C4:D4"/>
    <mergeCell ref="E4:F4"/>
    <mergeCell ref="A7:A9"/>
    <mergeCell ref="A14:B18"/>
    <mergeCell ref="C14:F14"/>
    <mergeCell ref="C15:D15"/>
    <mergeCell ref="E15:F15"/>
    <mergeCell ref="C16:D16"/>
    <mergeCell ref="E16:F16"/>
    <mergeCell ref="A19:A21"/>
    <mergeCell ref="A25:D29"/>
    <mergeCell ref="E25:H25"/>
    <mergeCell ref="E26:F26"/>
    <mergeCell ref="G26:H26"/>
    <mergeCell ref="E27:F27"/>
    <mergeCell ref="G27:H27"/>
    <mergeCell ref="A30:A50"/>
    <mergeCell ref="B30:B36"/>
    <mergeCell ref="C30:C36"/>
    <mergeCell ref="B37:B43"/>
    <mergeCell ref="C37:C43"/>
    <mergeCell ref="B44:B50"/>
    <mergeCell ref="C44:C50"/>
    <mergeCell ref="Z15:AB15"/>
    <mergeCell ref="S18:S31"/>
    <mergeCell ref="T18:T24"/>
    <mergeCell ref="U18:U24"/>
    <mergeCell ref="T25:T31"/>
    <mergeCell ref="U25:U31"/>
    <mergeCell ref="S13:V17"/>
    <mergeCell ref="W13:AB13"/>
    <mergeCell ref="W14:Y14"/>
    <mergeCell ref="Z14:AB14"/>
    <mergeCell ref="W15:Y15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X106"/>
  <sheetViews>
    <sheetView zoomScaleNormal="100" workbookViewId="0">
      <selection activeCell="L25" sqref="L25"/>
    </sheetView>
  </sheetViews>
  <sheetFormatPr baseColWidth="10" defaultRowHeight="14.4" x14ac:dyDescent="0.3"/>
  <cols>
    <col min="16" max="16" width="24.6640625" customWidth="1"/>
    <col min="17" max="19" width="10.5546875" customWidth="1"/>
    <col min="24" max="24" width="7.44140625" customWidth="1"/>
    <col min="33" max="33" width="7.109375" customWidth="1"/>
    <col min="34" max="34" width="5.88671875" customWidth="1"/>
    <col min="36" max="36" width="12" customWidth="1"/>
    <col min="37" max="37" width="8" customWidth="1"/>
    <col min="38" max="38" width="6.88671875" customWidth="1"/>
  </cols>
  <sheetData>
    <row r="1" spans="1:50" ht="16.8" thickTop="1" thickBot="1" x14ac:dyDescent="0.35">
      <c r="A1" s="1027"/>
      <c r="B1" s="1029"/>
      <c r="C1" s="1036" t="s">
        <v>41</v>
      </c>
      <c r="D1" s="1037"/>
      <c r="E1" s="1037"/>
      <c r="F1" s="1038"/>
      <c r="G1" s="47"/>
      <c r="H1" s="47"/>
      <c r="I1" s="47"/>
      <c r="J1" s="47"/>
      <c r="K1" s="47"/>
      <c r="P1" s="1021" t="s">
        <v>103</v>
      </c>
      <c r="Q1" s="1021"/>
      <c r="R1" s="1021"/>
      <c r="S1" s="1021"/>
      <c r="T1" s="1021"/>
      <c r="U1" s="46"/>
      <c r="V1" s="46"/>
      <c r="Y1" s="1027"/>
      <c r="Z1" s="1029"/>
      <c r="AA1" s="1036" t="s">
        <v>41</v>
      </c>
      <c r="AB1" s="1038"/>
      <c r="AC1" s="47"/>
    </row>
    <row r="2" spans="1:50" ht="15.75" customHeight="1" x14ac:dyDescent="0.3">
      <c r="A2" s="1030"/>
      <c r="B2" s="1032"/>
      <c r="C2" s="1043" t="s">
        <v>42</v>
      </c>
      <c r="D2" s="1044"/>
      <c r="E2" s="1040" t="s">
        <v>43</v>
      </c>
      <c r="F2" s="1041"/>
      <c r="G2" s="47"/>
      <c r="H2" s="47"/>
      <c r="I2" s="47"/>
      <c r="J2" s="47"/>
      <c r="K2" s="47"/>
      <c r="P2" s="82"/>
      <c r="Q2" s="134" t="s">
        <v>92</v>
      </c>
      <c r="R2" s="134" t="s">
        <v>6</v>
      </c>
      <c r="S2" s="135" t="s">
        <v>93</v>
      </c>
      <c r="T2" s="45"/>
      <c r="U2" s="151" t="s">
        <v>106</v>
      </c>
      <c r="V2" s="151" t="s">
        <v>107</v>
      </c>
      <c r="Y2" s="1030"/>
      <c r="Z2" s="1032"/>
      <c r="AA2" s="48" t="s">
        <v>42</v>
      </c>
      <c r="AB2" s="50" t="s">
        <v>43</v>
      </c>
      <c r="AC2" s="47"/>
    </row>
    <row r="3" spans="1:50" ht="15" customHeight="1" thickBot="1" x14ac:dyDescent="0.35">
      <c r="A3" s="1030"/>
      <c r="B3" s="1032"/>
      <c r="C3" s="1043" t="s">
        <v>49</v>
      </c>
      <c r="D3" s="1044"/>
      <c r="E3" s="1040" t="s">
        <v>49</v>
      </c>
      <c r="F3" s="1041"/>
      <c r="G3" s="47"/>
      <c r="H3" s="47"/>
      <c r="I3" s="47"/>
      <c r="J3" s="47"/>
      <c r="K3" s="47"/>
      <c r="P3" s="226" t="s">
        <v>52</v>
      </c>
      <c r="Q3" s="297">
        <f>SUM(C6:C7)</f>
        <v>83771.99190000011</v>
      </c>
      <c r="R3" s="297">
        <f>C8</f>
        <v>130202.1632060001</v>
      </c>
      <c r="S3" s="298">
        <f>SUM(C9:C10)</f>
        <v>49734.730512000096</v>
      </c>
      <c r="T3" s="44">
        <f>SUM(Q3:S3)</f>
        <v>263708.88561800029</v>
      </c>
      <c r="U3" s="44"/>
      <c r="V3" s="44"/>
      <c r="Y3" s="1033"/>
      <c r="Z3" s="1035"/>
      <c r="AA3" s="51" t="s">
        <v>40</v>
      </c>
      <c r="AB3" s="53" t="s">
        <v>40</v>
      </c>
      <c r="AC3" s="47"/>
    </row>
    <row r="4" spans="1:50" ht="15" customHeight="1" thickTop="1" thickBot="1" x14ac:dyDescent="0.35">
      <c r="A4" s="1030"/>
      <c r="B4" s="1032"/>
      <c r="C4" s="287" t="s">
        <v>42</v>
      </c>
      <c r="D4" s="288" t="s">
        <v>43</v>
      </c>
      <c r="E4" s="49" t="s">
        <v>42</v>
      </c>
      <c r="F4" s="50" t="s">
        <v>43</v>
      </c>
      <c r="G4" s="47"/>
      <c r="H4" s="47"/>
      <c r="I4" s="47"/>
      <c r="J4" s="47"/>
      <c r="K4" s="47"/>
      <c r="P4" s="192" t="s">
        <v>53</v>
      </c>
      <c r="Q4" s="193">
        <f>SUM(D6:D7)</f>
        <v>27275.48608299996</v>
      </c>
      <c r="R4" s="193">
        <f>D8</f>
        <v>146210.39929299941</v>
      </c>
      <c r="S4" s="194">
        <f>SUM(D9:D10)</f>
        <v>389943.44831099885</v>
      </c>
      <c r="T4" s="44">
        <f>SUM(Q4:S4)</f>
        <v>563429.33368699823</v>
      </c>
      <c r="U4" s="44"/>
      <c r="V4" s="44"/>
      <c r="Y4" s="1022" t="s">
        <v>105</v>
      </c>
      <c r="Z4" s="54" t="s">
        <v>106</v>
      </c>
      <c r="AA4" s="55">
        <v>401032.32915299671</v>
      </c>
      <c r="AB4" s="57">
        <v>22872.317182999992</v>
      </c>
      <c r="AC4" s="47"/>
    </row>
    <row r="5" spans="1:50" ht="15.6" thickTop="1" thickBot="1" x14ac:dyDescent="0.35">
      <c r="A5" s="1033"/>
      <c r="B5" s="1035"/>
      <c r="C5" s="289" t="s">
        <v>40</v>
      </c>
      <c r="D5" s="290" t="s">
        <v>40</v>
      </c>
      <c r="E5" s="52" t="s">
        <v>40</v>
      </c>
      <c r="F5" s="53" t="s">
        <v>40</v>
      </c>
      <c r="G5" s="47"/>
      <c r="H5" s="47"/>
      <c r="I5" s="47"/>
      <c r="J5" s="47"/>
      <c r="K5" s="47"/>
      <c r="P5" s="300" t="s">
        <v>57</v>
      </c>
      <c r="Q5" s="301">
        <f>SUM(Q3:Q4)</f>
        <v>111047.47798300008</v>
      </c>
      <c r="R5" s="301">
        <f>SUM(R3:R4)</f>
        <v>276412.56249899953</v>
      </c>
      <c r="S5" s="302">
        <f>SUM(S3:S4)</f>
        <v>439678.17882299895</v>
      </c>
      <c r="T5" s="44">
        <f t="shared" ref="T5:T37" si="0">SUM(Q5:S5)</f>
        <v>827138.21930499864</v>
      </c>
      <c r="U5" s="44">
        <f>AA4</f>
        <v>401032.32915299671</v>
      </c>
      <c r="V5" s="44">
        <f>AA5</f>
        <v>426105.89015201252</v>
      </c>
      <c r="W5" s="44">
        <f>SUM(U5:V5)</f>
        <v>827138.21930500923</v>
      </c>
      <c r="Y5" s="1024"/>
      <c r="Z5" s="62" t="s">
        <v>107</v>
      </c>
      <c r="AA5" s="63">
        <v>426105.89015201252</v>
      </c>
      <c r="AB5" s="65">
        <v>5551.1864280000018</v>
      </c>
      <c r="AC5" s="47"/>
      <c r="AI5" s="1027"/>
      <c r="AJ5" s="1028"/>
      <c r="AK5" s="1028"/>
      <c r="AL5" s="1029"/>
      <c r="AM5" s="1036" t="s">
        <v>105</v>
      </c>
      <c r="AN5" s="1038"/>
      <c r="AP5" s="1027"/>
      <c r="AQ5" s="1028"/>
      <c r="AR5" s="1028"/>
      <c r="AS5" s="1029"/>
      <c r="AT5" s="1036" t="s">
        <v>41</v>
      </c>
      <c r="AU5" s="1037"/>
      <c r="AV5" s="1037"/>
      <c r="AW5" s="1038"/>
      <c r="AX5" s="47"/>
    </row>
    <row r="6" spans="1:50" ht="15.6" thickTop="1" thickBot="1" x14ac:dyDescent="0.35">
      <c r="A6" s="1022" t="s">
        <v>44</v>
      </c>
      <c r="B6" s="54" t="s">
        <v>45</v>
      </c>
      <c r="C6" s="291">
        <v>7173.4654739999978</v>
      </c>
      <c r="D6" s="292">
        <v>700.63136699999995</v>
      </c>
      <c r="E6" s="56">
        <v>0</v>
      </c>
      <c r="F6" s="57">
        <v>0</v>
      </c>
      <c r="G6" s="67"/>
      <c r="H6" s="67"/>
      <c r="I6" s="47"/>
      <c r="J6" s="47"/>
      <c r="K6" s="47"/>
      <c r="P6" s="144" t="s">
        <v>88</v>
      </c>
      <c r="Q6" s="145">
        <f>Q5</f>
        <v>111047.47798300008</v>
      </c>
      <c r="R6" s="145">
        <f>R5</f>
        <v>276412.56249899953</v>
      </c>
      <c r="S6" s="146">
        <f>S5</f>
        <v>439678.17882299895</v>
      </c>
      <c r="T6" s="44">
        <f t="shared" si="0"/>
        <v>827138.21930499864</v>
      </c>
      <c r="U6" s="44"/>
      <c r="V6" s="44"/>
      <c r="AI6" s="1030"/>
      <c r="AJ6" s="1031"/>
      <c r="AK6" s="1031"/>
      <c r="AL6" s="1032"/>
      <c r="AM6" s="48" t="s">
        <v>106</v>
      </c>
      <c r="AN6" s="50" t="s">
        <v>107</v>
      </c>
      <c r="AP6" s="1030"/>
      <c r="AQ6" s="1031"/>
      <c r="AR6" s="1031"/>
      <c r="AS6" s="1032"/>
      <c r="AT6" s="1039" t="s">
        <v>42</v>
      </c>
      <c r="AU6" s="1040"/>
      <c r="AV6" s="1040" t="s">
        <v>43</v>
      </c>
      <c r="AW6" s="1041"/>
      <c r="AX6" s="47"/>
    </row>
    <row r="7" spans="1:50" ht="15" thickBot="1" x14ac:dyDescent="0.35">
      <c r="A7" s="1023"/>
      <c r="B7" s="58" t="s">
        <v>46</v>
      </c>
      <c r="C7" s="293">
        <v>76598.526426000113</v>
      </c>
      <c r="D7" s="294">
        <v>26574.854715999962</v>
      </c>
      <c r="E7" s="60">
        <v>0</v>
      </c>
      <c r="F7" s="61">
        <v>0</v>
      </c>
      <c r="G7" s="47"/>
      <c r="H7" s="47"/>
      <c r="I7" s="47"/>
      <c r="J7" s="47"/>
      <c r="K7" s="47"/>
      <c r="P7" s="232" t="s">
        <v>54</v>
      </c>
      <c r="Q7" s="233">
        <f>SUM(C18:C19)</f>
        <v>311627.92865124717</v>
      </c>
      <c r="R7" s="233">
        <f>C20</f>
        <v>518906.46982492466</v>
      </c>
      <c r="S7" s="299">
        <f>SUM(C21:C22)</f>
        <v>213878.27601272418</v>
      </c>
      <c r="T7" s="44">
        <f t="shared" si="0"/>
        <v>1044412.6744888959</v>
      </c>
      <c r="U7" s="44"/>
      <c r="V7" s="44"/>
      <c r="AI7" s="1033"/>
      <c r="AJ7" s="1034"/>
      <c r="AK7" s="1034"/>
      <c r="AL7" s="1035"/>
      <c r="AM7" s="51" t="s">
        <v>40</v>
      </c>
      <c r="AN7" s="53" t="s">
        <v>40</v>
      </c>
      <c r="AP7" s="1030"/>
      <c r="AQ7" s="1031"/>
      <c r="AR7" s="1031"/>
      <c r="AS7" s="1032"/>
      <c r="AT7" s="1039" t="s">
        <v>105</v>
      </c>
      <c r="AU7" s="1040"/>
      <c r="AV7" s="1040" t="s">
        <v>105</v>
      </c>
      <c r="AW7" s="1041"/>
      <c r="AX7" s="47"/>
    </row>
    <row r="8" spans="1:50" ht="15.6" thickTop="1" thickBot="1" x14ac:dyDescent="0.35">
      <c r="A8" s="1023"/>
      <c r="B8" s="58" t="s">
        <v>6</v>
      </c>
      <c r="C8" s="293">
        <v>130202.1632060001</v>
      </c>
      <c r="D8" s="294">
        <v>146210.39929299941</v>
      </c>
      <c r="E8" s="60">
        <v>0</v>
      </c>
      <c r="F8" s="61">
        <v>0</v>
      </c>
      <c r="G8" s="47"/>
      <c r="H8" s="67"/>
      <c r="I8" s="47"/>
      <c r="J8" s="47"/>
      <c r="K8" s="47"/>
      <c r="P8" s="229" t="s">
        <v>55</v>
      </c>
      <c r="Q8" s="230">
        <f>SUM(D18:D19)</f>
        <v>111555.66342425245</v>
      </c>
      <c r="R8" s="230">
        <f>D20</f>
        <v>576656.53484990972</v>
      </c>
      <c r="S8" s="231">
        <f>SUM(D21:D22)</f>
        <v>1585624.1445645122</v>
      </c>
      <c r="T8" s="44">
        <f t="shared" si="0"/>
        <v>2273836.3428386743</v>
      </c>
      <c r="U8" s="44"/>
      <c r="V8" s="44"/>
      <c r="AI8" s="1022" t="s">
        <v>82</v>
      </c>
      <c r="AJ8" s="1025" t="s">
        <v>83</v>
      </c>
      <c r="AK8" s="1025" t="s">
        <v>94</v>
      </c>
      <c r="AL8" s="54" t="s">
        <v>95</v>
      </c>
      <c r="AM8" s="55">
        <v>0</v>
      </c>
      <c r="AN8" s="57">
        <v>0</v>
      </c>
      <c r="AP8" s="1030"/>
      <c r="AQ8" s="1031"/>
      <c r="AR8" s="1031"/>
      <c r="AS8" s="1032"/>
      <c r="AT8" s="48" t="s">
        <v>106</v>
      </c>
      <c r="AU8" s="49" t="s">
        <v>107</v>
      </c>
      <c r="AV8" s="49" t="s">
        <v>106</v>
      </c>
      <c r="AW8" s="50" t="s">
        <v>107</v>
      </c>
      <c r="AX8" s="47"/>
    </row>
    <row r="9" spans="1:50" ht="15" thickBot="1" x14ac:dyDescent="0.35">
      <c r="A9" s="1023"/>
      <c r="B9" s="58" t="s">
        <v>47</v>
      </c>
      <c r="C9" s="293">
        <v>44827.823492000098</v>
      </c>
      <c r="D9" s="294">
        <v>271629.85772999853</v>
      </c>
      <c r="E9" s="60">
        <v>0</v>
      </c>
      <c r="F9" s="61">
        <v>325.24094300000002</v>
      </c>
      <c r="G9" s="47"/>
      <c r="H9" s="47"/>
      <c r="I9" s="47"/>
      <c r="J9" s="47"/>
      <c r="K9" s="47"/>
      <c r="P9" s="140"/>
      <c r="Q9" s="141"/>
      <c r="R9" s="141"/>
      <c r="S9" s="142"/>
      <c r="T9" s="44"/>
      <c r="U9" s="44"/>
      <c r="V9" s="44"/>
      <c r="AI9" s="1023"/>
      <c r="AJ9" s="1026"/>
      <c r="AK9" s="1026"/>
      <c r="AL9" s="58" t="s">
        <v>96</v>
      </c>
      <c r="AM9" s="59">
        <v>119010.69345477805</v>
      </c>
      <c r="AN9" s="61">
        <v>111589.67056484672</v>
      </c>
      <c r="AP9" s="1033"/>
      <c r="AQ9" s="1034"/>
      <c r="AR9" s="1034"/>
      <c r="AS9" s="1035"/>
      <c r="AT9" s="51" t="s">
        <v>40</v>
      </c>
      <c r="AU9" s="52" t="s">
        <v>40</v>
      </c>
      <c r="AV9" s="52" t="s">
        <v>40</v>
      </c>
      <c r="AW9" s="53" t="s">
        <v>40</v>
      </c>
      <c r="AX9" s="47"/>
    </row>
    <row r="10" spans="1:50" ht="15.6" thickTop="1" thickBot="1" x14ac:dyDescent="0.35">
      <c r="A10" s="1024"/>
      <c r="B10" s="62" t="s">
        <v>48</v>
      </c>
      <c r="C10" s="295">
        <v>4906.9070199999996</v>
      </c>
      <c r="D10" s="296">
        <v>118313.59058100033</v>
      </c>
      <c r="E10" s="64">
        <v>0</v>
      </c>
      <c r="F10" s="65">
        <v>633.26461199999994</v>
      </c>
      <c r="G10" s="47"/>
      <c r="H10" s="47"/>
      <c r="I10" s="47"/>
      <c r="J10" s="47"/>
      <c r="K10" s="47"/>
      <c r="P10" s="303" t="s">
        <v>56</v>
      </c>
      <c r="Q10" s="304">
        <f>SUM(Q11:Q12)</f>
        <v>410449.59855141258</v>
      </c>
      <c r="R10" s="304">
        <f t="shared" ref="R10:S10" si="1">SUM(R11:R12)</f>
        <v>1064225.8669312792</v>
      </c>
      <c r="S10" s="305">
        <f t="shared" si="1"/>
        <v>1712703.5783788709</v>
      </c>
      <c r="T10" s="44">
        <f t="shared" si="0"/>
        <v>3187379.0438615624</v>
      </c>
      <c r="U10" s="44">
        <f>SUM(AM9:AM14,AM16:AM21)</f>
        <v>1634205.9431858414</v>
      </c>
      <c r="V10" s="44">
        <f>SUM(AN9:AN14,AN16:AN21)</f>
        <v>1553173.1006757256</v>
      </c>
      <c r="W10" s="44">
        <f>SUM(U10:V10)</f>
        <v>3187379.043861567</v>
      </c>
      <c r="AI10" s="1023"/>
      <c r="AJ10" s="1026"/>
      <c r="AK10" s="1026"/>
      <c r="AL10" s="58" t="s">
        <v>97</v>
      </c>
      <c r="AM10" s="59">
        <v>106559.29832124223</v>
      </c>
      <c r="AN10" s="61">
        <v>98067.850547558221</v>
      </c>
      <c r="AP10" s="1022" t="s">
        <v>82</v>
      </c>
      <c r="AQ10" s="1025" t="s">
        <v>83</v>
      </c>
      <c r="AR10" s="1025" t="s">
        <v>94</v>
      </c>
      <c r="AS10" s="54" t="s">
        <v>95</v>
      </c>
      <c r="AT10" s="55">
        <v>0</v>
      </c>
      <c r="AU10" s="56">
        <v>0</v>
      </c>
      <c r="AV10" s="56">
        <v>0</v>
      </c>
      <c r="AW10" s="57">
        <v>0</v>
      </c>
      <c r="AX10" s="47"/>
    </row>
    <row r="11" spans="1:50" ht="15" thickTop="1" x14ac:dyDescent="0.3">
      <c r="A11" s="1026" t="s">
        <v>102</v>
      </c>
      <c r="B11" s="1026"/>
      <c r="C11" s="1026"/>
      <c r="D11" s="1026"/>
      <c r="E11" s="1026"/>
      <c r="F11" s="1026"/>
      <c r="G11" s="67"/>
      <c r="H11" s="67"/>
      <c r="I11" s="67"/>
      <c r="J11" s="67"/>
      <c r="K11" s="67"/>
      <c r="P11" s="226" t="s">
        <v>64</v>
      </c>
      <c r="Q11" s="227">
        <f>SUM(E47:E52)</f>
        <v>302048.98400051426</v>
      </c>
      <c r="R11" s="227">
        <f>SUM(F47:F52)</f>
        <v>502066.79071675532</v>
      </c>
      <c r="S11" s="228">
        <f>SUM(G47:G52)</f>
        <v>205430.74409029886</v>
      </c>
      <c r="T11" s="44">
        <f t="shared" si="0"/>
        <v>1009546.5188075685</v>
      </c>
      <c r="U11" s="44"/>
      <c r="V11" s="44"/>
      <c r="AI11" s="1023"/>
      <c r="AJ11" s="1026"/>
      <c r="AK11" s="1026"/>
      <c r="AL11" s="58" t="s">
        <v>98</v>
      </c>
      <c r="AM11" s="59">
        <v>138554.9113561082</v>
      </c>
      <c r="AN11" s="61">
        <v>121478.22527703615</v>
      </c>
      <c r="AP11" s="1023"/>
      <c r="AQ11" s="1026"/>
      <c r="AR11" s="1026"/>
      <c r="AS11" s="58" t="s">
        <v>96</v>
      </c>
      <c r="AT11" s="59">
        <v>119010.69345477805</v>
      </c>
      <c r="AU11" s="60">
        <v>111589.67056484672</v>
      </c>
      <c r="AV11" s="60">
        <v>5796.1972537958518</v>
      </c>
      <c r="AW11" s="61">
        <v>0</v>
      </c>
      <c r="AX11" s="47"/>
    </row>
    <row r="12" spans="1:50" ht="15" thickBot="1" x14ac:dyDescent="0.35">
      <c r="G12" s="44"/>
      <c r="H12" s="44"/>
      <c r="I12" s="44"/>
      <c r="J12" s="44"/>
      <c r="K12" s="44"/>
      <c r="P12" s="229" t="s">
        <v>91</v>
      </c>
      <c r="Q12" s="230">
        <f>SUM(E54:E59)</f>
        <v>108400.61455089835</v>
      </c>
      <c r="R12" s="230">
        <f>SUM(F54:F59)</f>
        <v>562159.07621452387</v>
      </c>
      <c r="S12" s="231">
        <f>SUM(G54:G59)</f>
        <v>1507272.834288572</v>
      </c>
      <c r="T12" s="44">
        <f t="shared" si="0"/>
        <v>2177832.5250539943</v>
      </c>
      <c r="U12" s="44"/>
      <c r="V12" s="44"/>
      <c r="AI12" s="1023"/>
      <c r="AJ12" s="1026"/>
      <c r="AK12" s="1026"/>
      <c r="AL12" s="58" t="s">
        <v>99</v>
      </c>
      <c r="AM12" s="59">
        <v>157408.4522855994</v>
      </c>
      <c r="AN12" s="61">
        <v>145734.38897464465</v>
      </c>
      <c r="AP12" s="1023"/>
      <c r="AQ12" s="1026"/>
      <c r="AR12" s="1026"/>
      <c r="AS12" s="58" t="s">
        <v>97</v>
      </c>
      <c r="AT12" s="59">
        <v>106559.29832124223</v>
      </c>
      <c r="AU12" s="60">
        <v>98067.850547558221</v>
      </c>
      <c r="AV12" s="60">
        <v>4630.6696630579772</v>
      </c>
      <c r="AW12" s="61">
        <v>0</v>
      </c>
      <c r="AX12" s="47"/>
    </row>
    <row r="13" spans="1:50" ht="15" thickTop="1" x14ac:dyDescent="0.3">
      <c r="A13" s="1027"/>
      <c r="B13" s="1029"/>
      <c r="C13" s="1036" t="s">
        <v>41</v>
      </c>
      <c r="D13" s="1037"/>
      <c r="E13" s="1037"/>
      <c r="F13" s="1038"/>
      <c r="G13" s="47"/>
      <c r="P13" s="137"/>
      <c r="Q13" s="138"/>
      <c r="R13" s="138"/>
      <c r="S13" s="139"/>
      <c r="T13" s="44"/>
      <c r="U13" s="44"/>
      <c r="V13" s="44"/>
      <c r="X13" s="1027"/>
      <c r="Y13" s="1028"/>
      <c r="Z13" s="1028"/>
      <c r="AA13" s="1029"/>
      <c r="AB13" s="1036" t="s">
        <v>41</v>
      </c>
      <c r="AC13" s="1037"/>
      <c r="AD13" s="1037"/>
      <c r="AE13" s="1037"/>
      <c r="AF13" s="1037"/>
      <c r="AG13" s="1038"/>
      <c r="AH13" s="47"/>
      <c r="AI13" s="1023"/>
      <c r="AJ13" s="1026"/>
      <c r="AK13" s="1026"/>
      <c r="AL13" s="58" t="s">
        <v>100</v>
      </c>
      <c r="AM13" s="59">
        <v>110929.22568777608</v>
      </c>
      <c r="AN13" s="61">
        <v>117856.58373495167</v>
      </c>
      <c r="AP13" s="1023"/>
      <c r="AQ13" s="1026"/>
      <c r="AR13" s="1026"/>
      <c r="AS13" s="58" t="s">
        <v>98</v>
      </c>
      <c r="AT13" s="59">
        <v>138554.9113561082</v>
      </c>
      <c r="AU13" s="60">
        <v>121478.22527703615</v>
      </c>
      <c r="AV13" s="60">
        <v>6946.3409865918657</v>
      </c>
      <c r="AW13" s="61">
        <v>2893</v>
      </c>
      <c r="AX13" s="47"/>
    </row>
    <row r="14" spans="1:50" x14ac:dyDescent="0.3">
      <c r="A14" s="1030"/>
      <c r="B14" s="1032"/>
      <c r="C14" s="1043" t="s">
        <v>42</v>
      </c>
      <c r="D14" s="1044"/>
      <c r="E14" s="1040" t="s">
        <v>43</v>
      </c>
      <c r="F14" s="1041"/>
      <c r="G14" s="47"/>
      <c r="P14" s="148" t="s">
        <v>65</v>
      </c>
      <c r="Q14" s="149">
        <f>SUM(AB26:AB31)</f>
        <v>206934.42110446596</v>
      </c>
      <c r="R14" s="149">
        <f>SUM(AC26:AC31)</f>
        <v>561127.4388509742</v>
      </c>
      <c r="S14" s="150">
        <f>ROUNDUP(SUM(AD26:AD31),0)</f>
        <v>886027</v>
      </c>
      <c r="T14" s="44">
        <f t="shared" si="0"/>
        <v>1654088.8599554403</v>
      </c>
      <c r="U14" s="44">
        <f>SUM(AM16:AM21)</f>
        <v>848266.2668239515</v>
      </c>
      <c r="V14" s="44">
        <f>SUM(AN16:AN21)</f>
        <v>805822.41678672784</v>
      </c>
      <c r="W14" s="44">
        <f>SUM(U14:V14)</f>
        <v>1654088.6836106793</v>
      </c>
      <c r="X14" s="1030"/>
      <c r="Y14" s="1031"/>
      <c r="Z14" s="1031"/>
      <c r="AA14" s="1032"/>
      <c r="AB14" s="1039" t="s">
        <v>42</v>
      </c>
      <c r="AC14" s="1040"/>
      <c r="AD14" s="1040"/>
      <c r="AE14" s="1040" t="s">
        <v>43</v>
      </c>
      <c r="AF14" s="1040"/>
      <c r="AG14" s="1041"/>
      <c r="AH14" s="47"/>
      <c r="AI14" s="1023"/>
      <c r="AJ14" s="1026"/>
      <c r="AK14" s="1026"/>
      <c r="AL14" s="58" t="s">
        <v>101</v>
      </c>
      <c r="AM14" s="59">
        <v>153477.09525638615</v>
      </c>
      <c r="AN14" s="61">
        <v>152623.96478996059</v>
      </c>
      <c r="AP14" s="1023"/>
      <c r="AQ14" s="1026"/>
      <c r="AR14" s="1026"/>
      <c r="AS14" s="58" t="s">
        <v>99</v>
      </c>
      <c r="AT14" s="59">
        <v>157408.4522855994</v>
      </c>
      <c r="AU14" s="60">
        <v>145734.38897464465</v>
      </c>
      <c r="AV14" s="60">
        <v>6053.8259231038919</v>
      </c>
      <c r="AW14" s="61">
        <v>306</v>
      </c>
      <c r="AX14" s="47"/>
    </row>
    <row r="15" spans="1:50" ht="15" customHeight="1" x14ac:dyDescent="0.3">
      <c r="A15" s="1030"/>
      <c r="B15" s="1032"/>
      <c r="C15" s="1043" t="s">
        <v>49</v>
      </c>
      <c r="D15" s="1044"/>
      <c r="E15" s="1040" t="s">
        <v>49</v>
      </c>
      <c r="F15" s="1041"/>
      <c r="G15" s="47"/>
      <c r="P15" s="148" t="s">
        <v>66</v>
      </c>
      <c r="Q15" s="149">
        <f>SUM(AB19:AB24)</f>
        <v>203515.17744694671</v>
      </c>
      <c r="R15" s="149">
        <f>SUM(AC19:AC24)</f>
        <v>503098.42808030482</v>
      </c>
      <c r="S15" s="150">
        <f>SUM(AD19:AD24)</f>
        <v>826676.75472363434</v>
      </c>
      <c r="T15" s="44">
        <f t="shared" si="0"/>
        <v>1533290.3602508858</v>
      </c>
      <c r="U15" s="44">
        <f>SUM(AM9:AM14)</f>
        <v>785939.67636189004</v>
      </c>
      <c r="V15" s="44">
        <f>SUM(AN9:AN14)</f>
        <v>747350.68388899788</v>
      </c>
      <c r="W15" s="44">
        <f>SUM(U15:V15)</f>
        <v>1533290.3602508879</v>
      </c>
      <c r="X15" s="1030"/>
      <c r="Y15" s="1031"/>
      <c r="Z15" s="1031"/>
      <c r="AA15" s="1032"/>
      <c r="AB15" s="1039" t="s">
        <v>104</v>
      </c>
      <c r="AC15" s="1040"/>
      <c r="AD15" s="1040"/>
      <c r="AE15" s="1040" t="s">
        <v>104</v>
      </c>
      <c r="AF15" s="1040"/>
      <c r="AG15" s="1041"/>
      <c r="AH15" s="47"/>
      <c r="AI15" s="1023"/>
      <c r="AJ15" s="1026" t="s">
        <v>84</v>
      </c>
      <c r="AK15" s="1026" t="s">
        <v>94</v>
      </c>
      <c r="AL15" s="58" t="s">
        <v>95</v>
      </c>
      <c r="AM15" s="59">
        <v>0</v>
      </c>
      <c r="AN15" s="61">
        <v>0</v>
      </c>
      <c r="AP15" s="1023"/>
      <c r="AQ15" s="1026"/>
      <c r="AR15" s="1026"/>
      <c r="AS15" s="58" t="s">
        <v>100</v>
      </c>
      <c r="AT15" s="59">
        <v>110929.22568777608</v>
      </c>
      <c r="AU15" s="60">
        <v>117856.58373495167</v>
      </c>
      <c r="AV15" s="60">
        <v>4351.4505695191538</v>
      </c>
      <c r="AW15" s="61">
        <v>681.5</v>
      </c>
      <c r="AX15" s="47"/>
    </row>
    <row r="16" spans="1:50" ht="15" thickBot="1" x14ac:dyDescent="0.35">
      <c r="A16" s="1030"/>
      <c r="B16" s="1032"/>
      <c r="C16" s="287" t="s">
        <v>42</v>
      </c>
      <c r="D16" s="288" t="s">
        <v>43</v>
      </c>
      <c r="E16" s="49" t="s">
        <v>42</v>
      </c>
      <c r="F16" s="50" t="s">
        <v>43</v>
      </c>
      <c r="G16" s="47"/>
      <c r="P16" s="143"/>
      <c r="Q16" s="285"/>
      <c r="R16" s="285"/>
      <c r="S16" s="285"/>
      <c r="T16" s="44"/>
      <c r="U16" s="44"/>
      <c r="V16" s="44"/>
      <c r="X16" s="1030"/>
      <c r="Y16" s="1031"/>
      <c r="Z16" s="1031"/>
      <c r="AA16" s="1032"/>
      <c r="AB16" s="48" t="s">
        <v>5</v>
      </c>
      <c r="AC16" s="49" t="s">
        <v>6</v>
      </c>
      <c r="AD16" s="49" t="s">
        <v>7</v>
      </c>
      <c r="AE16" s="49" t="s">
        <v>5</v>
      </c>
      <c r="AF16" s="49" t="s">
        <v>6</v>
      </c>
      <c r="AG16" s="50" t="s">
        <v>7</v>
      </c>
      <c r="AH16" s="47"/>
      <c r="AI16" s="1023"/>
      <c r="AJ16" s="1026"/>
      <c r="AK16" s="1026"/>
      <c r="AL16" s="58" t="s">
        <v>96</v>
      </c>
      <c r="AM16" s="59">
        <v>124153.17400343854</v>
      </c>
      <c r="AN16" s="61">
        <v>109012.1624017267</v>
      </c>
      <c r="AP16" s="1023"/>
      <c r="AQ16" s="1026"/>
      <c r="AR16" s="1026"/>
      <c r="AS16" s="58" t="s">
        <v>101</v>
      </c>
      <c r="AT16" s="59">
        <v>153477.09525638615</v>
      </c>
      <c r="AU16" s="60">
        <v>152623.96478996059</v>
      </c>
      <c r="AV16" s="60">
        <v>6678.2719436159914</v>
      </c>
      <c r="AW16" s="61">
        <v>1599.5</v>
      </c>
      <c r="AX16" s="47"/>
    </row>
    <row r="17" spans="1:50" ht="24.6" thickBot="1" x14ac:dyDescent="0.35">
      <c r="A17" s="1033"/>
      <c r="B17" s="1035"/>
      <c r="C17" s="289" t="s">
        <v>40</v>
      </c>
      <c r="D17" s="290" t="s">
        <v>40</v>
      </c>
      <c r="E17" s="52" t="s">
        <v>40</v>
      </c>
      <c r="F17" s="53" t="s">
        <v>40</v>
      </c>
      <c r="G17" s="47"/>
      <c r="P17" s="303" t="s">
        <v>67</v>
      </c>
      <c r="Q17" s="304">
        <f>Q18+Q19</f>
        <v>44489.565319378074</v>
      </c>
      <c r="R17" s="304">
        <f t="shared" ref="R17:S17" si="2">R18+R19</f>
        <v>123799.70876547263</v>
      </c>
      <c r="S17" s="305">
        <f t="shared" si="2"/>
        <v>295476.42633994005</v>
      </c>
      <c r="T17" s="44">
        <f t="shared" si="0"/>
        <v>463765.70042479073</v>
      </c>
      <c r="U17" s="44"/>
      <c r="V17" s="44"/>
      <c r="X17" s="1033"/>
      <c r="Y17" s="1034"/>
      <c r="Z17" s="1034"/>
      <c r="AA17" s="1035"/>
      <c r="AB17" s="51" t="s">
        <v>40</v>
      </c>
      <c r="AC17" s="52" t="s">
        <v>40</v>
      </c>
      <c r="AD17" s="52" t="s">
        <v>40</v>
      </c>
      <c r="AE17" s="52" t="s">
        <v>40</v>
      </c>
      <c r="AF17" s="52" t="s">
        <v>40</v>
      </c>
      <c r="AG17" s="53" t="s">
        <v>40</v>
      </c>
      <c r="AH17" s="47"/>
      <c r="AI17" s="1023"/>
      <c r="AJ17" s="1026"/>
      <c r="AK17" s="1026"/>
      <c r="AL17" s="58" t="s">
        <v>97</v>
      </c>
      <c r="AM17" s="59">
        <v>114206.79539120002</v>
      </c>
      <c r="AN17" s="61">
        <v>98724.571249069239</v>
      </c>
      <c r="AP17" s="1023"/>
      <c r="AQ17" s="1026" t="s">
        <v>84</v>
      </c>
      <c r="AR17" s="1026" t="s">
        <v>94</v>
      </c>
      <c r="AS17" s="58" t="s">
        <v>95</v>
      </c>
      <c r="AT17" s="59">
        <v>0</v>
      </c>
      <c r="AU17" s="60">
        <v>0</v>
      </c>
      <c r="AV17" s="60">
        <v>0</v>
      </c>
      <c r="AW17" s="61">
        <v>0</v>
      </c>
      <c r="AX17" s="47"/>
    </row>
    <row r="18" spans="1:50" ht="15" thickTop="1" x14ac:dyDescent="0.3">
      <c r="A18" s="1022" t="s">
        <v>44</v>
      </c>
      <c r="B18" s="54" t="s">
        <v>45</v>
      </c>
      <c r="C18" s="291">
        <f>ROUNDUP(28700.3794486854,0)</f>
        <v>28701</v>
      </c>
      <c r="D18" s="292">
        <v>3842.6634242524392</v>
      </c>
      <c r="E18" s="56">
        <v>0</v>
      </c>
      <c r="F18" s="57">
        <v>0</v>
      </c>
      <c r="G18" s="67"/>
      <c r="P18" s="226" t="s">
        <v>68</v>
      </c>
      <c r="Q18" s="227">
        <f>AB19</f>
        <v>23660.19441896346</v>
      </c>
      <c r="R18" s="227">
        <f>AC19</f>
        <v>64926.761687512575</v>
      </c>
      <c r="S18" s="228">
        <f>AD19</f>
        <v>142013.4079131489</v>
      </c>
      <c r="T18" s="44">
        <f t="shared" si="0"/>
        <v>230600.36401962495</v>
      </c>
      <c r="U18" s="44"/>
      <c r="V18" s="44"/>
      <c r="X18" s="1022" t="s">
        <v>82</v>
      </c>
      <c r="Y18" s="1025" t="s">
        <v>83</v>
      </c>
      <c r="Z18" s="1025" t="s">
        <v>94</v>
      </c>
      <c r="AA18" s="54" t="s">
        <v>95</v>
      </c>
      <c r="AB18" s="55">
        <v>7167.2926689894648</v>
      </c>
      <c r="AC18" s="56">
        <v>18393.768289240314</v>
      </c>
      <c r="AD18" s="56">
        <v>41074.667551910861</v>
      </c>
      <c r="AE18" s="56">
        <v>0</v>
      </c>
      <c r="AF18" s="56">
        <v>0</v>
      </c>
      <c r="AG18" s="57">
        <v>1171.1618708482706</v>
      </c>
      <c r="AH18" s="47"/>
      <c r="AI18" s="1023"/>
      <c r="AJ18" s="1026"/>
      <c r="AK18" s="1026"/>
      <c r="AL18" s="58" t="s">
        <v>98</v>
      </c>
      <c r="AM18" s="59">
        <v>133515.47521906308</v>
      </c>
      <c r="AN18" s="61">
        <v>136169.0385863613</v>
      </c>
      <c r="AP18" s="1023"/>
      <c r="AQ18" s="1026"/>
      <c r="AR18" s="1026"/>
      <c r="AS18" s="58" t="s">
        <v>96</v>
      </c>
      <c r="AT18" s="59">
        <v>124153.17400343854</v>
      </c>
      <c r="AU18" s="60">
        <v>109012.1624017267</v>
      </c>
      <c r="AV18" s="60">
        <v>4925.5498193476942</v>
      </c>
      <c r="AW18" s="61">
        <v>0</v>
      </c>
      <c r="AX18" s="47"/>
    </row>
    <row r="19" spans="1:50" ht="15" thickBot="1" x14ac:dyDescent="0.35">
      <c r="A19" s="1023"/>
      <c r="B19" s="58" t="s">
        <v>46</v>
      </c>
      <c r="C19" s="293">
        <v>282926.92865124717</v>
      </c>
      <c r="D19" s="294">
        <f>ROUNDUP(107712.457146715,0)</f>
        <v>107713</v>
      </c>
      <c r="E19" s="60">
        <v>0</v>
      </c>
      <c r="F19" s="61">
        <v>0</v>
      </c>
      <c r="G19" s="47"/>
      <c r="P19" s="229" t="s">
        <v>69</v>
      </c>
      <c r="Q19" s="230">
        <f>AB26</f>
        <v>20829.370900414615</v>
      </c>
      <c r="R19" s="230">
        <f>AC26</f>
        <v>58872.947077960052</v>
      </c>
      <c r="S19" s="231">
        <f>AD26</f>
        <v>153463.01842679115</v>
      </c>
      <c r="T19" s="44">
        <f t="shared" si="0"/>
        <v>233165.33640516581</v>
      </c>
      <c r="U19" s="44"/>
      <c r="V19" s="44"/>
      <c r="X19" s="1023"/>
      <c r="Y19" s="1026"/>
      <c r="Z19" s="1026"/>
      <c r="AA19" s="58" t="s">
        <v>96</v>
      </c>
      <c r="AB19" s="59">
        <v>23660.19441896346</v>
      </c>
      <c r="AC19" s="60">
        <v>64926.761687512575</v>
      </c>
      <c r="AD19" s="60">
        <v>142013.4079131489</v>
      </c>
      <c r="AE19" s="60">
        <v>0</v>
      </c>
      <c r="AF19" s="60">
        <v>0</v>
      </c>
      <c r="AG19" s="61">
        <v>5796.1972537958527</v>
      </c>
      <c r="AH19" s="47"/>
      <c r="AI19" s="1023"/>
      <c r="AJ19" s="1026"/>
      <c r="AK19" s="1026"/>
      <c r="AL19" s="58" t="s">
        <v>99</v>
      </c>
      <c r="AM19" s="59">
        <v>173100.39585939044</v>
      </c>
      <c r="AN19" s="61">
        <v>171766.19902386266</v>
      </c>
      <c r="AP19" s="1023"/>
      <c r="AQ19" s="1026"/>
      <c r="AR19" s="1026"/>
      <c r="AS19" s="58" t="s">
        <v>97</v>
      </c>
      <c r="AT19" s="59">
        <v>114206.79539120002</v>
      </c>
      <c r="AU19" s="60">
        <v>98724.571249069239</v>
      </c>
      <c r="AV19" s="60">
        <v>5715.6375418659027</v>
      </c>
      <c r="AW19" s="61">
        <v>885.71400000000006</v>
      </c>
      <c r="AX19" s="47"/>
    </row>
    <row r="20" spans="1:50" x14ac:dyDescent="0.3">
      <c r="A20" s="1023"/>
      <c r="B20" s="58" t="s">
        <v>6</v>
      </c>
      <c r="C20" s="293">
        <v>518906.46982492466</v>
      </c>
      <c r="D20" s="294">
        <v>576656.53484990972</v>
      </c>
      <c r="E20" s="60">
        <v>0</v>
      </c>
      <c r="F20" s="61">
        <v>0</v>
      </c>
      <c r="G20" s="47"/>
      <c r="P20" s="303" t="s">
        <v>70</v>
      </c>
      <c r="Q20" s="304">
        <f>Q21+Q22</f>
        <v>44753.730878578725</v>
      </c>
      <c r="R20" s="304">
        <f t="shared" ref="R20:S20" si="3">R21+R22</f>
        <v>128276.54073738909</v>
      </c>
      <c r="S20" s="305">
        <f t="shared" si="3"/>
        <v>244528.24389310231</v>
      </c>
      <c r="T20" s="44">
        <f t="shared" si="0"/>
        <v>417558.51550907013</v>
      </c>
      <c r="U20" s="44"/>
      <c r="V20" s="44"/>
      <c r="X20" s="1023"/>
      <c r="Y20" s="1026"/>
      <c r="Z20" s="1026"/>
      <c r="AA20" s="58" t="s">
        <v>97</v>
      </c>
      <c r="AB20" s="59">
        <v>24092.45949616412</v>
      </c>
      <c r="AC20" s="60">
        <v>58816.608351688606</v>
      </c>
      <c r="AD20" s="60">
        <v>121718.08102094851</v>
      </c>
      <c r="AE20" s="60">
        <v>0</v>
      </c>
      <c r="AF20" s="60">
        <v>0</v>
      </c>
      <c r="AG20" s="61">
        <v>4630.6696630579772</v>
      </c>
      <c r="AH20" s="47"/>
      <c r="AI20" s="1023"/>
      <c r="AJ20" s="1026"/>
      <c r="AK20" s="1026"/>
      <c r="AL20" s="58" t="s">
        <v>100</v>
      </c>
      <c r="AM20" s="59">
        <v>133098.80257822381</v>
      </c>
      <c r="AN20" s="61">
        <v>135434.24721625689</v>
      </c>
      <c r="AP20" s="1023"/>
      <c r="AQ20" s="1026"/>
      <c r="AR20" s="1026"/>
      <c r="AS20" s="58" t="s">
        <v>98</v>
      </c>
      <c r="AT20" s="59">
        <v>133515.47521906308</v>
      </c>
      <c r="AU20" s="60">
        <v>136169.0385863613</v>
      </c>
      <c r="AV20" s="60">
        <v>6793.0042128196164</v>
      </c>
      <c r="AW20" s="61">
        <v>1460.0710000000001</v>
      </c>
      <c r="AX20" s="47"/>
    </row>
    <row r="21" spans="1:50" ht="15" thickBot="1" x14ac:dyDescent="0.35">
      <c r="A21" s="1023"/>
      <c r="B21" s="58" t="s">
        <v>47</v>
      </c>
      <c r="C21" s="293">
        <v>192451.23401949633</v>
      </c>
      <c r="D21" s="294">
        <v>1101284.1871662373</v>
      </c>
      <c r="E21" s="60">
        <v>0</v>
      </c>
      <c r="F21" s="61">
        <v>286.23935444389275</v>
      </c>
      <c r="G21" s="133">
        <f>SUM(C18:D22)</f>
        <v>3318249.0173275704</v>
      </c>
      <c r="P21" s="226" t="s">
        <v>74</v>
      </c>
      <c r="Q21" s="227">
        <f>AB20</f>
        <v>24092.45949616412</v>
      </c>
      <c r="R21" s="227">
        <f>AC20</f>
        <v>58816.608351688606</v>
      </c>
      <c r="S21" s="228">
        <f>AD20</f>
        <v>121718.08102094851</v>
      </c>
      <c r="T21" s="44">
        <f t="shared" si="0"/>
        <v>204627.14886880125</v>
      </c>
      <c r="U21" s="44"/>
      <c r="V21" s="44"/>
      <c r="X21" s="1023"/>
      <c r="Y21" s="1026"/>
      <c r="Z21" s="1026"/>
      <c r="AA21" s="58" t="s">
        <v>98</v>
      </c>
      <c r="AB21" s="59">
        <v>30939.897242881987</v>
      </c>
      <c r="AC21" s="60">
        <v>83159.744912414579</v>
      </c>
      <c r="AD21" s="60">
        <v>145933.49447784832</v>
      </c>
      <c r="AE21" s="60">
        <v>0</v>
      </c>
      <c r="AF21" s="60">
        <v>612</v>
      </c>
      <c r="AG21" s="61">
        <v>9227.3409865918638</v>
      </c>
      <c r="AH21" s="47"/>
      <c r="AI21" s="1024"/>
      <c r="AJ21" s="1042"/>
      <c r="AK21" s="1042"/>
      <c r="AL21" s="62" t="s">
        <v>101</v>
      </c>
      <c r="AM21" s="63">
        <v>170191.62377263544</v>
      </c>
      <c r="AN21" s="65">
        <v>154716.19830945111</v>
      </c>
      <c r="AP21" s="1023"/>
      <c r="AQ21" s="1026"/>
      <c r="AR21" s="1026"/>
      <c r="AS21" s="58" t="s">
        <v>99</v>
      </c>
      <c r="AT21" s="59">
        <v>173100.39585939044</v>
      </c>
      <c r="AU21" s="60">
        <v>171766.19902386266</v>
      </c>
      <c r="AV21" s="60">
        <v>6395.5423160152377</v>
      </c>
      <c r="AW21" s="61">
        <v>622.71400000000006</v>
      </c>
      <c r="AX21" s="47"/>
    </row>
    <row r="22" spans="1:50" ht="15.6" thickTop="1" thickBot="1" x14ac:dyDescent="0.35">
      <c r="A22" s="1024"/>
      <c r="B22" s="62" t="s">
        <v>48</v>
      </c>
      <c r="C22" s="295">
        <v>21427.041993227835</v>
      </c>
      <c r="D22" s="296">
        <v>484339.95739827491</v>
      </c>
      <c r="E22" s="64">
        <v>0</v>
      </c>
      <c r="F22" s="65">
        <v>1059.7914520230911</v>
      </c>
      <c r="G22" s="47"/>
      <c r="P22" s="229" t="s">
        <v>75</v>
      </c>
      <c r="Q22" s="230">
        <f>AB27</f>
        <v>20661.271382414605</v>
      </c>
      <c r="R22" s="230">
        <f>AC27</f>
        <v>69459.932385700493</v>
      </c>
      <c r="S22" s="231">
        <f>AD27</f>
        <v>122810.1628721538</v>
      </c>
      <c r="T22" s="44">
        <f t="shared" si="0"/>
        <v>212931.36664026888</v>
      </c>
      <c r="U22" s="44"/>
      <c r="V22" s="44"/>
      <c r="X22" s="1023"/>
      <c r="Y22" s="1026"/>
      <c r="Z22" s="1026"/>
      <c r="AA22" s="58" t="s">
        <v>99</v>
      </c>
      <c r="AB22" s="59">
        <v>39820.648567147895</v>
      </c>
      <c r="AC22" s="60">
        <v>98005.063583671188</v>
      </c>
      <c r="AD22" s="60">
        <v>165317.12910942378</v>
      </c>
      <c r="AE22" s="60">
        <v>0</v>
      </c>
      <c r="AF22" s="60">
        <v>0</v>
      </c>
      <c r="AG22" s="61">
        <v>6359.8259231038919</v>
      </c>
      <c r="AH22" s="47"/>
      <c r="AI22" s="168" t="s">
        <v>114</v>
      </c>
      <c r="AP22" s="1023"/>
      <c r="AQ22" s="1026"/>
      <c r="AR22" s="1026"/>
      <c r="AS22" s="58" t="s">
        <v>100</v>
      </c>
      <c r="AT22" s="59">
        <v>133098.80257822381</v>
      </c>
      <c r="AU22" s="60">
        <v>135434.24721625689</v>
      </c>
      <c r="AV22" s="60">
        <v>4224.5166689705975</v>
      </c>
      <c r="AW22" s="61">
        <v>622.71400000000006</v>
      </c>
      <c r="AX22" s="47"/>
    </row>
    <row r="23" spans="1:50" ht="15.6" thickTop="1" thickBot="1" x14ac:dyDescent="0.35">
      <c r="A23" s="1026" t="s">
        <v>102</v>
      </c>
      <c r="B23" s="1026"/>
      <c r="C23" s="1026"/>
      <c r="D23" s="1026"/>
      <c r="E23" s="1026"/>
      <c r="F23" s="1026"/>
      <c r="G23" s="47"/>
      <c r="P23" s="303" t="s">
        <v>71</v>
      </c>
      <c r="Q23" s="304">
        <f>Q24+Q25</f>
        <v>65011.603387385869</v>
      </c>
      <c r="R23" s="304">
        <f t="shared" ref="R23:S23" si="4">R24+R25</f>
        <v>175271.20808337763</v>
      </c>
      <c r="S23" s="305">
        <f t="shared" si="4"/>
        <v>289434.83896780532</v>
      </c>
      <c r="T23" s="44">
        <f t="shared" si="0"/>
        <v>529717.65043856879</v>
      </c>
      <c r="U23" s="44"/>
      <c r="V23" s="44"/>
      <c r="X23" s="1023"/>
      <c r="Y23" s="1026"/>
      <c r="Z23" s="1026"/>
      <c r="AA23" s="58" t="s">
        <v>100</v>
      </c>
      <c r="AB23" s="59">
        <v>35717.020032653905</v>
      </c>
      <c r="AC23" s="60">
        <v>81192.038839137298</v>
      </c>
      <c r="AD23" s="60">
        <v>111876.75055093627</v>
      </c>
      <c r="AE23" s="60">
        <v>375.5</v>
      </c>
      <c r="AF23" s="60">
        <v>306</v>
      </c>
      <c r="AG23" s="61">
        <v>4351.4505695191547</v>
      </c>
      <c r="AH23" s="47"/>
      <c r="AP23" s="1024"/>
      <c r="AQ23" s="1042"/>
      <c r="AR23" s="1042"/>
      <c r="AS23" s="62" t="s">
        <v>101</v>
      </c>
      <c r="AT23" s="63">
        <v>170191.62377263544</v>
      </c>
      <c r="AU23" s="64">
        <v>154716.19830945111</v>
      </c>
      <c r="AV23" s="64">
        <v>8391.9518277527441</v>
      </c>
      <c r="AW23" s="65">
        <v>2345.7849999999999</v>
      </c>
      <c r="AX23" s="47"/>
    </row>
    <row r="24" spans="1:50" ht="15" thickTop="1" x14ac:dyDescent="0.3">
      <c r="P24" s="226" t="s">
        <v>76</v>
      </c>
      <c r="Q24" s="227">
        <f>AB21</f>
        <v>30939.897242881987</v>
      </c>
      <c r="R24" s="227">
        <f>AC21</f>
        <v>83159.744912414579</v>
      </c>
      <c r="S24" s="228">
        <f>AD21</f>
        <v>145933.49447784832</v>
      </c>
      <c r="T24" s="44">
        <f t="shared" si="0"/>
        <v>260033.13663314487</v>
      </c>
      <c r="U24" s="44"/>
      <c r="V24" s="44"/>
      <c r="X24" s="1023"/>
      <c r="Y24" s="1026"/>
      <c r="Z24" s="1026"/>
      <c r="AA24" s="58" t="s">
        <v>101</v>
      </c>
      <c r="AB24" s="59">
        <v>49284.957689135335</v>
      </c>
      <c r="AC24" s="60">
        <v>116998.21070588061</v>
      </c>
      <c r="AD24" s="60">
        <v>139817.89165132859</v>
      </c>
      <c r="AE24" s="60">
        <v>0</v>
      </c>
      <c r="AF24" s="60">
        <v>616.84107442739901</v>
      </c>
      <c r="AG24" s="61">
        <v>7660.9308691885935</v>
      </c>
      <c r="AH24" s="47"/>
    </row>
    <row r="25" spans="1:50" ht="15" thickBot="1" x14ac:dyDescent="0.35">
      <c r="A25" s="131"/>
      <c r="B25" s="131"/>
      <c r="C25" s="131"/>
      <c r="D25" s="131"/>
      <c r="E25" s="131"/>
      <c r="F25" s="131"/>
      <c r="G25" s="131"/>
      <c r="H25" s="131"/>
      <c r="I25" s="47"/>
      <c r="P25" s="229" t="s">
        <v>77</v>
      </c>
      <c r="Q25" s="230">
        <f>AB28</f>
        <v>34071.706144503878</v>
      </c>
      <c r="R25" s="230">
        <f>AC28</f>
        <v>92111.463170963063</v>
      </c>
      <c r="S25" s="231">
        <f>AD28</f>
        <v>143501.344489957</v>
      </c>
      <c r="T25" s="44">
        <f t="shared" si="0"/>
        <v>269684.51380542398</v>
      </c>
      <c r="U25" s="44"/>
      <c r="V25" s="44"/>
      <c r="X25" s="1023"/>
      <c r="Y25" s="1026" t="s">
        <v>84</v>
      </c>
      <c r="Z25" s="1026" t="s">
        <v>94</v>
      </c>
      <c r="AA25" s="58" t="s">
        <v>95</v>
      </c>
      <c r="AB25" s="59">
        <v>5565.5374504970641</v>
      </c>
      <c r="AC25" s="60">
        <v>12943.369454319791</v>
      </c>
      <c r="AD25" s="60">
        <v>45724.174646458596</v>
      </c>
      <c r="AE25" s="60">
        <v>0</v>
      </c>
      <c r="AF25" s="60">
        <v>0</v>
      </c>
      <c r="AG25" s="61">
        <v>1916.8685805764039</v>
      </c>
      <c r="AH25" s="47"/>
    </row>
    <row r="26" spans="1:50" ht="15" thickTop="1" x14ac:dyDescent="0.3">
      <c r="A26" s="1027"/>
      <c r="B26" s="1029"/>
      <c r="C26" s="1036" t="s">
        <v>41</v>
      </c>
      <c r="D26" s="1037"/>
      <c r="E26" s="1037"/>
      <c r="F26" s="1037"/>
      <c r="G26" s="1037"/>
      <c r="H26" s="1038"/>
      <c r="I26" s="47"/>
      <c r="P26" s="303" t="s">
        <v>87</v>
      </c>
      <c r="Q26" s="304">
        <f>Q27+Q28</f>
        <v>79437.907632039161</v>
      </c>
      <c r="R26" s="304">
        <f t="shared" ref="R26:S26" si="5">R27+R28</f>
        <v>214153.30539827765</v>
      </c>
      <c r="S26" s="305">
        <f t="shared" si="5"/>
        <v>354418.22311317699</v>
      </c>
      <c r="T26" s="44">
        <f t="shared" si="0"/>
        <v>648009.43614349375</v>
      </c>
      <c r="U26" s="44"/>
      <c r="V26" s="44"/>
      <c r="X26" s="1023"/>
      <c r="Y26" s="1026"/>
      <c r="Z26" s="1026"/>
      <c r="AA26" s="58" t="s">
        <v>96</v>
      </c>
      <c r="AB26" s="59">
        <v>20829.370900414615</v>
      </c>
      <c r="AC26" s="60">
        <v>58872.947077960052</v>
      </c>
      <c r="AD26" s="171">
        <v>153463.01842679115</v>
      </c>
      <c r="AE26" s="60">
        <v>0</v>
      </c>
      <c r="AF26" s="60">
        <v>0</v>
      </c>
      <c r="AG26" s="61">
        <v>4925.5498193476933</v>
      </c>
      <c r="AH26" s="47"/>
      <c r="AI26" s="44">
        <f>SUM(AB19:AG24)</f>
        <v>1573227.1165905704</v>
      </c>
      <c r="AN26" s="44">
        <f>SUM(AM8:AN21)</f>
        <v>3187379.043861568</v>
      </c>
    </row>
    <row r="27" spans="1:50" ht="15" customHeight="1" x14ac:dyDescent="0.3">
      <c r="A27" s="1030"/>
      <c r="B27" s="1032"/>
      <c r="C27" s="1039" t="s">
        <v>42</v>
      </c>
      <c r="D27" s="1040"/>
      <c r="E27" s="1040"/>
      <c r="F27" s="1040" t="s">
        <v>43</v>
      </c>
      <c r="G27" s="1040"/>
      <c r="H27" s="1041"/>
      <c r="I27" s="47"/>
      <c r="P27" s="226" t="s">
        <v>86</v>
      </c>
      <c r="Q27" s="227">
        <f>AB22</f>
        <v>39820.648567147895</v>
      </c>
      <c r="R27" s="227">
        <f>AC22</f>
        <v>98005.063583671188</v>
      </c>
      <c r="S27" s="228">
        <f>AD22</f>
        <v>165317.12910942378</v>
      </c>
      <c r="T27" s="44">
        <f t="shared" si="0"/>
        <v>303142.84126024286</v>
      </c>
      <c r="U27" s="44"/>
      <c r="V27" s="44"/>
      <c r="X27" s="1023"/>
      <c r="Y27" s="1026"/>
      <c r="Z27" s="1026"/>
      <c r="AA27" s="58" t="s">
        <v>97</v>
      </c>
      <c r="AB27" s="59">
        <v>20661.271382414605</v>
      </c>
      <c r="AC27" s="60">
        <v>69459.932385700493</v>
      </c>
      <c r="AD27" s="171">
        <v>122810.1628721538</v>
      </c>
      <c r="AE27" s="60">
        <v>0</v>
      </c>
      <c r="AF27" s="60">
        <v>311.35700000000003</v>
      </c>
      <c r="AG27" s="61">
        <v>6289.9945418658999</v>
      </c>
      <c r="AH27" s="47"/>
      <c r="AI27" s="44">
        <f>SUM(AB26:AG31)</f>
        <v>1696471.8839974499</v>
      </c>
    </row>
    <row r="28" spans="1:50" ht="15" thickBot="1" x14ac:dyDescent="0.35">
      <c r="A28" s="1030"/>
      <c r="B28" s="1032"/>
      <c r="C28" s="1039" t="s">
        <v>104</v>
      </c>
      <c r="D28" s="1040"/>
      <c r="E28" s="1040"/>
      <c r="F28" s="1040" t="s">
        <v>104</v>
      </c>
      <c r="G28" s="1040"/>
      <c r="H28" s="1041"/>
      <c r="I28" s="47"/>
      <c r="P28" s="229" t="s">
        <v>85</v>
      </c>
      <c r="Q28" s="230">
        <f>AB29</f>
        <v>39617.259064891259</v>
      </c>
      <c r="R28" s="230">
        <f>AC29</f>
        <v>116148.24181460644</v>
      </c>
      <c r="S28" s="231">
        <f>AD29</f>
        <v>189101.09400375321</v>
      </c>
      <c r="T28" s="44">
        <f t="shared" si="0"/>
        <v>344866.59488325089</v>
      </c>
      <c r="U28" s="44"/>
      <c r="V28" s="44"/>
      <c r="X28" s="1023"/>
      <c r="Y28" s="1026"/>
      <c r="Z28" s="1026"/>
      <c r="AA28" s="58" t="s">
        <v>98</v>
      </c>
      <c r="AB28" s="173">
        <v>34071.706144503878</v>
      </c>
      <c r="AC28" s="60">
        <v>92111.463170963063</v>
      </c>
      <c r="AD28" s="171">
        <v>143501.344489957</v>
      </c>
      <c r="AE28" s="60">
        <v>0</v>
      </c>
      <c r="AF28" s="60">
        <v>274.54751817531235</v>
      </c>
      <c r="AG28" s="61">
        <v>7978.5276946442991</v>
      </c>
      <c r="AH28" s="47"/>
      <c r="AI28" s="44">
        <f>AI26+AI27</f>
        <v>3269699.0005880203</v>
      </c>
      <c r="AN28" s="44">
        <f>AN26+UNIV_LIMA14!AA36</f>
        <v>12353541.766903946</v>
      </c>
    </row>
    <row r="29" spans="1:50" x14ac:dyDescent="0.3">
      <c r="A29" s="1030"/>
      <c r="B29" s="1032"/>
      <c r="C29" s="48" t="s">
        <v>5</v>
      </c>
      <c r="D29" s="49" t="s">
        <v>6</v>
      </c>
      <c r="E29" s="49" t="s">
        <v>7</v>
      </c>
      <c r="F29" s="49" t="s">
        <v>5</v>
      </c>
      <c r="G29" s="49" t="s">
        <v>6</v>
      </c>
      <c r="H29" s="50" t="s">
        <v>7</v>
      </c>
      <c r="I29" s="47"/>
      <c r="P29" s="303" t="s">
        <v>72</v>
      </c>
      <c r="Q29" s="304">
        <f>Q30+Q31</f>
        <v>77933.240112285159</v>
      </c>
      <c r="R29" s="304">
        <f t="shared" ref="R29:S29" si="6">R30+R31</f>
        <v>181470.97567871382</v>
      </c>
      <c r="S29" s="305">
        <f t="shared" si="6"/>
        <v>237914.64342621027</v>
      </c>
      <c r="T29" s="44">
        <f t="shared" si="0"/>
        <v>497318.85921720928</v>
      </c>
      <c r="U29" s="44"/>
      <c r="V29" s="44"/>
      <c r="X29" s="1023"/>
      <c r="Y29" s="1026"/>
      <c r="Z29" s="1026"/>
      <c r="AA29" s="58" t="s">
        <v>99</v>
      </c>
      <c r="AB29" s="173">
        <v>39617.259064891259</v>
      </c>
      <c r="AC29" s="60">
        <v>116148.24181460644</v>
      </c>
      <c r="AD29" s="171">
        <v>189101.09400375321</v>
      </c>
      <c r="AE29" s="60">
        <v>0</v>
      </c>
      <c r="AF29" s="60">
        <v>311.35700000000003</v>
      </c>
      <c r="AG29" s="61">
        <v>6706.8993160152377</v>
      </c>
      <c r="AH29" s="47"/>
      <c r="AI29" s="44">
        <f>AI28+UNIV_LIMA14!AD25</f>
        <v>12485576.570923397</v>
      </c>
    </row>
    <row r="30" spans="1:50" ht="15" thickBot="1" x14ac:dyDescent="0.35">
      <c r="A30" s="1033"/>
      <c r="B30" s="1035"/>
      <c r="C30" s="51" t="s">
        <v>40</v>
      </c>
      <c r="D30" s="52" t="s">
        <v>40</v>
      </c>
      <c r="E30" s="52" t="s">
        <v>40</v>
      </c>
      <c r="F30" s="52" t="s">
        <v>40</v>
      </c>
      <c r="G30" s="52" t="s">
        <v>40</v>
      </c>
      <c r="H30" s="53" t="s">
        <v>40</v>
      </c>
      <c r="I30" s="47"/>
      <c r="P30" s="226" t="s">
        <v>78</v>
      </c>
      <c r="Q30" s="227">
        <f>AB23</f>
        <v>35717.020032653905</v>
      </c>
      <c r="R30" s="227">
        <f>AC23</f>
        <v>81192.038839137298</v>
      </c>
      <c r="S30" s="228">
        <f>AD23</f>
        <v>111876.75055093627</v>
      </c>
      <c r="T30" s="44">
        <f t="shared" si="0"/>
        <v>228785.80942272747</v>
      </c>
      <c r="U30" s="44"/>
      <c r="V30" s="44"/>
      <c r="X30" s="1023"/>
      <c r="Y30" s="1026"/>
      <c r="Z30" s="1026"/>
      <c r="AA30" s="58" t="s">
        <v>100</v>
      </c>
      <c r="AB30" s="173">
        <v>42216.220079631254</v>
      </c>
      <c r="AC30" s="60">
        <v>100278.93683957651</v>
      </c>
      <c r="AD30" s="171">
        <v>126037.89287527402</v>
      </c>
      <c r="AE30" s="60">
        <v>0</v>
      </c>
      <c r="AF30" s="60">
        <v>460.01817486872369</v>
      </c>
      <c r="AG30" s="61">
        <v>4387.2124941018737</v>
      </c>
      <c r="AH30" s="47"/>
    </row>
    <row r="31" spans="1:50" ht="15.6" thickTop="1" thickBot="1" x14ac:dyDescent="0.35">
      <c r="A31" s="1022" t="s">
        <v>94</v>
      </c>
      <c r="B31" s="54" t="s">
        <v>95</v>
      </c>
      <c r="C31" s="55">
        <v>12732.830119486522</v>
      </c>
      <c r="D31" s="56">
        <v>31337.13774356011</v>
      </c>
      <c r="E31" s="56">
        <v>86798.842198369312</v>
      </c>
      <c r="F31" s="56">
        <v>0</v>
      </c>
      <c r="G31" s="56">
        <v>0</v>
      </c>
      <c r="H31" s="57">
        <v>3088.030451424675</v>
      </c>
      <c r="I31" s="47"/>
      <c r="P31" s="229" t="s">
        <v>79</v>
      </c>
      <c r="Q31" s="230">
        <f>AB30</f>
        <v>42216.220079631254</v>
      </c>
      <c r="R31" s="230">
        <f>AC30</f>
        <v>100278.93683957651</v>
      </c>
      <c r="S31" s="231">
        <f>AD30</f>
        <v>126037.89287527402</v>
      </c>
      <c r="T31" s="44">
        <f t="shared" si="0"/>
        <v>268533.04979448178</v>
      </c>
      <c r="U31" s="44"/>
      <c r="V31" s="44"/>
      <c r="X31" s="1024"/>
      <c r="Y31" s="1042"/>
      <c r="Z31" s="1042"/>
      <c r="AA31" s="62" t="s">
        <v>101</v>
      </c>
      <c r="AB31" s="174">
        <v>49538.593532610321</v>
      </c>
      <c r="AC31" s="64">
        <v>124255.9175621676</v>
      </c>
      <c r="AD31" s="172">
        <v>151113.31098730874</v>
      </c>
      <c r="AE31" s="64">
        <v>0</v>
      </c>
      <c r="AF31" s="64">
        <v>1186.396344785567</v>
      </c>
      <c r="AG31" s="65">
        <v>9551.3404829671781</v>
      </c>
      <c r="AH31" s="47"/>
    </row>
    <row r="32" spans="1:50" x14ac:dyDescent="0.3">
      <c r="A32" s="1023"/>
      <c r="B32" s="58" t="s">
        <v>96</v>
      </c>
      <c r="C32" s="59">
        <v>44489.565319378089</v>
      </c>
      <c r="D32" s="60">
        <v>123799.70876547245</v>
      </c>
      <c r="E32" s="60">
        <v>295476.42633993994</v>
      </c>
      <c r="F32" s="60">
        <v>0</v>
      </c>
      <c r="G32" s="60">
        <v>0</v>
      </c>
      <c r="H32" s="61">
        <v>10721.747073143541</v>
      </c>
      <c r="I32" s="47"/>
      <c r="P32" s="306" t="s">
        <v>73</v>
      </c>
      <c r="Q32" s="307">
        <f>Q33+Q34</f>
        <v>98823.551221745656</v>
      </c>
      <c r="R32" s="307">
        <f t="shared" ref="R32:S32" si="7">R33+R34</f>
        <v>241254.12826804823</v>
      </c>
      <c r="S32" s="308">
        <f t="shared" si="7"/>
        <v>290931.20263863733</v>
      </c>
      <c r="T32" s="44">
        <f t="shared" si="0"/>
        <v>631008.88212843123</v>
      </c>
      <c r="U32" s="44"/>
      <c r="V32" s="44"/>
    </row>
    <row r="33" spans="1:30" x14ac:dyDescent="0.3">
      <c r="A33" s="1023"/>
      <c r="B33" s="58" t="s">
        <v>97</v>
      </c>
      <c r="C33" s="59">
        <v>44753.73087857871</v>
      </c>
      <c r="D33" s="60">
        <v>128276.54073738902</v>
      </c>
      <c r="E33" s="60">
        <v>244528.24389310196</v>
      </c>
      <c r="F33" s="60">
        <v>0</v>
      </c>
      <c r="G33" s="60">
        <v>311.35700000000003</v>
      </c>
      <c r="H33" s="61">
        <v>10920.664204923876</v>
      </c>
      <c r="I33" s="47"/>
      <c r="P33" s="226" t="s">
        <v>80</v>
      </c>
      <c r="Q33" s="227">
        <f>AB24</f>
        <v>49284.957689135335</v>
      </c>
      <c r="R33" s="227">
        <f>AC24</f>
        <v>116998.21070588061</v>
      </c>
      <c r="S33" s="228">
        <f>AD24</f>
        <v>139817.89165132859</v>
      </c>
      <c r="T33" s="44">
        <f t="shared" si="0"/>
        <v>306101.06004634453</v>
      </c>
      <c r="U33" s="44"/>
      <c r="V33" s="44"/>
      <c r="AB33" s="136">
        <f>SUM(AB19:AD24,AB26:AD31)</f>
        <v>3187379.0438615638</v>
      </c>
    </row>
    <row r="34" spans="1:30" ht="15" thickBot="1" x14ac:dyDescent="0.35">
      <c r="A34" s="1023"/>
      <c r="B34" s="58" t="s">
        <v>98</v>
      </c>
      <c r="C34" s="59">
        <v>65011.603387385818</v>
      </c>
      <c r="D34" s="60">
        <v>175271.20808337681</v>
      </c>
      <c r="E34" s="60">
        <v>289434.83896780462</v>
      </c>
      <c r="F34" s="60">
        <v>0</v>
      </c>
      <c r="G34" s="60">
        <v>886.54751817531235</v>
      </c>
      <c r="H34" s="61">
        <v>17205.868681236167</v>
      </c>
      <c r="I34" s="47"/>
      <c r="P34" s="229" t="s">
        <v>81</v>
      </c>
      <c r="Q34" s="230">
        <f>AB31</f>
        <v>49538.593532610321</v>
      </c>
      <c r="R34" s="230">
        <f>AC31</f>
        <v>124255.9175621676</v>
      </c>
      <c r="S34" s="231">
        <f>AD31</f>
        <v>151113.31098730874</v>
      </c>
      <c r="T34" s="44">
        <f t="shared" si="0"/>
        <v>324907.82208208664</v>
      </c>
      <c r="U34" s="44"/>
      <c r="V34" s="44"/>
    </row>
    <row r="35" spans="1:30" ht="15" thickBot="1" x14ac:dyDescent="0.35">
      <c r="A35" s="1023"/>
      <c r="B35" s="58" t="s">
        <v>99</v>
      </c>
      <c r="C35" s="59">
        <v>79437.907632039205</v>
      </c>
      <c r="D35" s="60">
        <v>214153.30539827669</v>
      </c>
      <c r="E35" s="60">
        <v>354418.22311317688</v>
      </c>
      <c r="F35" s="60">
        <v>0</v>
      </c>
      <c r="G35" s="60">
        <v>311.35700000000003</v>
      </c>
      <c r="H35" s="61">
        <v>13066.725239119127</v>
      </c>
      <c r="I35" s="47"/>
      <c r="P35" s="140"/>
      <c r="Q35" s="141"/>
      <c r="R35" s="141"/>
      <c r="S35" s="142"/>
      <c r="T35" s="44">
        <f t="shared" si="0"/>
        <v>0</v>
      </c>
      <c r="U35" s="44"/>
      <c r="V35" s="44"/>
      <c r="AB35" s="44">
        <f>AB19+AB26</f>
        <v>44489.565319378074</v>
      </c>
      <c r="AC35" s="44">
        <f t="shared" ref="AC35:AD35" si="8">AC19+AC26</f>
        <v>123799.70876547263</v>
      </c>
      <c r="AD35" s="44">
        <f t="shared" si="8"/>
        <v>295476.42633994005</v>
      </c>
    </row>
    <row r="36" spans="1:30" x14ac:dyDescent="0.3">
      <c r="A36" s="1023"/>
      <c r="B36" s="58" t="s">
        <v>100</v>
      </c>
      <c r="C36" s="59">
        <v>77933.24011228529</v>
      </c>
      <c r="D36" s="60">
        <v>181470.97567871262</v>
      </c>
      <c r="E36" s="60">
        <v>237914.64342620931</v>
      </c>
      <c r="F36" s="60">
        <v>375.5</v>
      </c>
      <c r="G36" s="60">
        <v>766.01817486872369</v>
      </c>
      <c r="H36" s="61">
        <v>8738.6630636210284</v>
      </c>
      <c r="I36" s="47"/>
      <c r="P36" s="303" t="s">
        <v>90</v>
      </c>
      <c r="Q36" s="304">
        <f>SUM(AB21:AB24)</f>
        <v>155762.52353181911</v>
      </c>
      <c r="R36" s="304">
        <f>SUM(AC21:AC24)</f>
        <v>379355.05804110365</v>
      </c>
      <c r="S36" s="305">
        <f>SUM(AD21:AD24)</f>
        <v>562945.26578953699</v>
      </c>
      <c r="T36" s="44">
        <f t="shared" si="0"/>
        <v>1098062.8473624596</v>
      </c>
      <c r="U36" s="44"/>
      <c r="V36" s="44"/>
      <c r="AB36" s="44">
        <f t="shared" ref="AB36:AD39" si="9">AB20+AB27</f>
        <v>44753.730878578725</v>
      </c>
      <c r="AC36" s="44">
        <f t="shared" si="9"/>
        <v>128276.54073738909</v>
      </c>
      <c r="AD36" s="44">
        <f t="shared" si="9"/>
        <v>244528.24389310231</v>
      </c>
    </row>
    <row r="37" spans="1:30" ht="15" thickBot="1" x14ac:dyDescent="0.35">
      <c r="A37" s="1024"/>
      <c r="B37" s="62" t="s">
        <v>101</v>
      </c>
      <c r="C37" s="63">
        <v>98823.551221745729</v>
      </c>
      <c r="D37" s="64">
        <v>241254.12826804761</v>
      </c>
      <c r="E37" s="64">
        <v>290931.2026386371</v>
      </c>
      <c r="F37" s="64">
        <v>0</v>
      </c>
      <c r="G37" s="64">
        <v>1803.237419212966</v>
      </c>
      <c r="H37" s="65">
        <v>17212.271352155771</v>
      </c>
      <c r="I37" s="47"/>
      <c r="P37" s="309" t="s">
        <v>89</v>
      </c>
      <c r="Q37" s="310">
        <f>ROUNDDOWN(SUM(AB28:AB31),0)</f>
        <v>165443</v>
      </c>
      <c r="R37" s="310">
        <f>ROUNDDOWN(SUM(AC28:AC31),0)</f>
        <v>432794</v>
      </c>
      <c r="S37" s="311">
        <f t="shared" ref="S37" si="10">SUM(AD28:AD31)</f>
        <v>609753.64235629304</v>
      </c>
      <c r="T37" s="44">
        <f t="shared" si="0"/>
        <v>1207990.642356293</v>
      </c>
      <c r="U37" s="44"/>
      <c r="V37" s="44"/>
      <c r="AB37" s="44">
        <f t="shared" si="9"/>
        <v>65011.603387385869</v>
      </c>
      <c r="AC37" s="44">
        <f t="shared" si="9"/>
        <v>175271.20808337763</v>
      </c>
      <c r="AD37" s="44">
        <f t="shared" si="9"/>
        <v>289434.83896780532</v>
      </c>
    </row>
    <row r="38" spans="1:30" ht="15" thickTop="1" x14ac:dyDescent="0.3">
      <c r="A38" s="132"/>
      <c r="B38" s="132"/>
      <c r="C38" s="132"/>
      <c r="D38" s="66"/>
      <c r="E38" s="130"/>
      <c r="F38" s="130"/>
      <c r="G38" s="130"/>
      <c r="H38" s="130"/>
      <c r="I38" s="47"/>
      <c r="AB38" s="44">
        <f t="shared" si="9"/>
        <v>79437.907632039161</v>
      </c>
      <c r="AC38" s="44">
        <f t="shared" si="9"/>
        <v>214153.30539827765</v>
      </c>
      <c r="AD38" s="44">
        <f t="shared" si="9"/>
        <v>354418.22311317699</v>
      </c>
    </row>
    <row r="39" spans="1:30" x14ac:dyDescent="0.3">
      <c r="A39" s="132"/>
      <c r="B39" s="132"/>
      <c r="C39" s="132"/>
      <c r="D39" s="66"/>
      <c r="E39" s="130"/>
      <c r="F39" s="130"/>
      <c r="G39" s="130"/>
      <c r="H39" s="130"/>
      <c r="I39" s="47"/>
      <c r="T39" s="44"/>
      <c r="U39" s="44"/>
      <c r="V39" s="44"/>
      <c r="AB39" s="44">
        <f t="shared" si="9"/>
        <v>77933.240112285159</v>
      </c>
      <c r="AC39" s="44">
        <f t="shared" si="9"/>
        <v>181470.97567871382</v>
      </c>
      <c r="AD39" s="44">
        <f t="shared" si="9"/>
        <v>237914.64342621027</v>
      </c>
    </row>
    <row r="40" spans="1:30" ht="15" thickBot="1" x14ac:dyDescent="0.35">
      <c r="A40" s="132"/>
      <c r="B40" s="132"/>
      <c r="C40" s="132"/>
      <c r="D40" s="66"/>
      <c r="E40" s="130"/>
      <c r="F40" s="130"/>
      <c r="G40" s="130"/>
      <c r="H40" s="130"/>
      <c r="I40" s="47"/>
      <c r="AB40" s="44">
        <f>AB24+AB31</f>
        <v>98823.551221745656</v>
      </c>
      <c r="AC40" s="44">
        <f t="shared" ref="AC40:AD40" si="11">AC24+AC31</f>
        <v>241254.12826804823</v>
      </c>
      <c r="AD40" s="44">
        <f t="shared" si="11"/>
        <v>290931.20263863733</v>
      </c>
    </row>
    <row r="41" spans="1:30" ht="15" thickTop="1" x14ac:dyDescent="0.3">
      <c r="A41" s="1027"/>
      <c r="B41" s="1028"/>
      <c r="C41" s="1028"/>
      <c r="D41" s="1029"/>
      <c r="E41" s="1036" t="s">
        <v>41</v>
      </c>
      <c r="F41" s="1037"/>
      <c r="G41" s="1037"/>
      <c r="H41" s="1037"/>
      <c r="I41" s="1037"/>
      <c r="J41" s="1038"/>
      <c r="K41" s="47"/>
      <c r="AD41" s="47"/>
    </row>
    <row r="42" spans="1:30" ht="15.75" customHeight="1" x14ac:dyDescent="0.3">
      <c r="A42" s="1030"/>
      <c r="B42" s="1031"/>
      <c r="C42" s="1031"/>
      <c r="D42" s="1032"/>
      <c r="E42" s="1043" t="s">
        <v>42</v>
      </c>
      <c r="F42" s="1044"/>
      <c r="G42" s="1044"/>
      <c r="H42" s="1040" t="s">
        <v>43</v>
      </c>
      <c r="I42" s="1040"/>
      <c r="J42" s="1041"/>
      <c r="K42" s="47"/>
      <c r="AB42" s="44">
        <f>SUM(AB19:AB24)</f>
        <v>203515.17744694671</v>
      </c>
      <c r="AC42" s="44">
        <f t="shared" ref="AC42:AD42" si="12">SUM(AC19:AC24)</f>
        <v>503098.42808030482</v>
      </c>
      <c r="AD42" s="44">
        <f t="shared" si="12"/>
        <v>826676.75472363434</v>
      </c>
    </row>
    <row r="43" spans="1:30" x14ac:dyDescent="0.3">
      <c r="A43" s="1030"/>
      <c r="B43" s="1031"/>
      <c r="C43" s="1031"/>
      <c r="D43" s="1032"/>
      <c r="E43" s="1043" t="s">
        <v>104</v>
      </c>
      <c r="F43" s="1044"/>
      <c r="G43" s="1044"/>
      <c r="H43" s="1040" t="s">
        <v>104</v>
      </c>
      <c r="I43" s="1040"/>
      <c r="J43" s="1041"/>
      <c r="K43" s="47"/>
      <c r="AB43" s="44">
        <f>SUM(AB26:AB31)</f>
        <v>206934.42110446596</v>
      </c>
      <c r="AC43" s="44">
        <f t="shared" ref="AC43:AD43" si="13">SUM(AC26:AC31)</f>
        <v>561127.4388509742</v>
      </c>
      <c r="AD43" s="44">
        <f t="shared" si="13"/>
        <v>886026.82365523791</v>
      </c>
    </row>
    <row r="44" spans="1:30" x14ac:dyDescent="0.3">
      <c r="A44" s="1030"/>
      <c r="B44" s="1031"/>
      <c r="C44" s="1031"/>
      <c r="D44" s="1032"/>
      <c r="E44" s="287" t="s">
        <v>5</v>
      </c>
      <c r="F44" s="288" t="s">
        <v>6</v>
      </c>
      <c r="G44" s="288" t="s">
        <v>7</v>
      </c>
      <c r="H44" s="49" t="s">
        <v>5</v>
      </c>
      <c r="I44" s="49" t="s">
        <v>6</v>
      </c>
      <c r="J44" s="50" t="s">
        <v>7</v>
      </c>
      <c r="K44" s="47"/>
      <c r="AB44" s="44">
        <f>SUM(AB19:AB24,AB26:AB31)</f>
        <v>410449.5985514127</v>
      </c>
      <c r="AC44" s="44">
        <f t="shared" ref="AC44:AD44" si="14">SUM(AC19:AC24,AC26:AC31)</f>
        <v>1064225.866931279</v>
      </c>
      <c r="AD44" s="44">
        <f t="shared" si="14"/>
        <v>1712703.578378872</v>
      </c>
    </row>
    <row r="45" spans="1:30" ht="15" thickBot="1" x14ac:dyDescent="0.35">
      <c r="A45" s="1033"/>
      <c r="B45" s="1034"/>
      <c r="C45" s="1034"/>
      <c r="D45" s="1035"/>
      <c r="E45" s="289" t="s">
        <v>40</v>
      </c>
      <c r="F45" s="290" t="s">
        <v>40</v>
      </c>
      <c r="G45" s="290" t="s">
        <v>40</v>
      </c>
      <c r="H45" s="52" t="s">
        <v>40</v>
      </c>
      <c r="I45" s="52" t="s">
        <v>40</v>
      </c>
      <c r="J45" s="53" t="s">
        <v>40</v>
      </c>
      <c r="K45" s="47"/>
      <c r="AD45" s="47"/>
    </row>
    <row r="46" spans="1:30" ht="15" thickTop="1" x14ac:dyDescent="0.3">
      <c r="A46" s="1022" t="s">
        <v>49</v>
      </c>
      <c r="B46" s="1025" t="s">
        <v>42</v>
      </c>
      <c r="C46" s="1025" t="s">
        <v>94</v>
      </c>
      <c r="D46" s="54" t="s">
        <v>95</v>
      </c>
      <c r="E46" s="291">
        <v>9578.3240994175649</v>
      </c>
      <c r="F46" s="292">
        <v>16839.679108172488</v>
      </c>
      <c r="G46" s="292">
        <v>8447.531922424796</v>
      </c>
      <c r="H46" s="56">
        <v>0</v>
      </c>
      <c r="I46" s="56">
        <v>0</v>
      </c>
      <c r="J46" s="57">
        <v>0</v>
      </c>
      <c r="K46" s="47"/>
      <c r="AD46" s="47"/>
    </row>
    <row r="47" spans="1:30" x14ac:dyDescent="0.3">
      <c r="A47" s="1023"/>
      <c r="B47" s="1026"/>
      <c r="C47" s="1026"/>
      <c r="D47" s="58" t="s">
        <v>96</v>
      </c>
      <c r="E47" s="293">
        <v>34093.171080188993</v>
      </c>
      <c r="F47" s="294">
        <v>57563.297275223558</v>
      </c>
      <c r="G47" s="294">
        <v>33026.100145256176</v>
      </c>
      <c r="H47" s="60">
        <v>0</v>
      </c>
      <c r="I47" s="60">
        <v>0</v>
      </c>
      <c r="J47" s="61">
        <v>0</v>
      </c>
      <c r="K47" s="47"/>
      <c r="AD47" s="47"/>
    </row>
    <row r="48" spans="1:30" x14ac:dyDescent="0.3">
      <c r="A48" s="1023"/>
      <c r="B48" s="1026"/>
      <c r="C48" s="1026"/>
      <c r="D48" s="58" t="s">
        <v>97</v>
      </c>
      <c r="E48" s="293">
        <v>31216.881795511152</v>
      </c>
      <c r="F48" s="294">
        <v>56992.502500366347</v>
      </c>
      <c r="G48" s="294">
        <v>23924.098187308551</v>
      </c>
      <c r="H48" s="60">
        <v>0</v>
      </c>
      <c r="I48" s="60">
        <v>0</v>
      </c>
      <c r="J48" s="61">
        <v>0</v>
      </c>
      <c r="K48" s="47"/>
      <c r="AD48" s="47"/>
    </row>
    <row r="49" spans="1:30" x14ac:dyDescent="0.3">
      <c r="A49" s="1023"/>
      <c r="B49" s="1026"/>
      <c r="C49" s="1026"/>
      <c r="D49" s="58" t="s">
        <v>98</v>
      </c>
      <c r="E49" s="293">
        <v>42751.19949790775</v>
      </c>
      <c r="F49" s="294">
        <v>82751.087202555427</v>
      </c>
      <c r="G49" s="294">
        <v>32394.018296150683</v>
      </c>
      <c r="H49" s="60">
        <v>0</v>
      </c>
      <c r="I49" s="60">
        <v>0</v>
      </c>
      <c r="J49" s="61">
        <v>0</v>
      </c>
      <c r="K49" s="47"/>
      <c r="AD49" s="47"/>
    </row>
    <row r="50" spans="1:30" x14ac:dyDescent="0.3">
      <c r="A50" s="1023"/>
      <c r="B50" s="1026"/>
      <c r="C50" s="1026"/>
      <c r="D50" s="58" t="s">
        <v>99</v>
      </c>
      <c r="E50" s="293">
        <v>60837.183866984888</v>
      </c>
      <c r="F50" s="294">
        <v>103611.79890342554</v>
      </c>
      <c r="G50" s="294">
        <v>44946.027245417456</v>
      </c>
      <c r="H50" s="60">
        <v>0</v>
      </c>
      <c r="I50" s="60">
        <v>0</v>
      </c>
      <c r="J50" s="61">
        <v>0</v>
      </c>
      <c r="K50" s="47"/>
      <c r="AD50" s="47"/>
    </row>
    <row r="51" spans="1:30" x14ac:dyDescent="0.3">
      <c r="A51" s="1023"/>
      <c r="B51" s="1026"/>
      <c r="C51" s="1026"/>
      <c r="D51" s="58" t="s">
        <v>100</v>
      </c>
      <c r="E51" s="293">
        <v>55406.280983712808</v>
      </c>
      <c r="F51" s="294">
        <v>88159.591865384777</v>
      </c>
      <c r="G51" s="294">
        <v>31728.372524453036</v>
      </c>
      <c r="H51" s="60">
        <v>0</v>
      </c>
      <c r="I51" s="60">
        <v>0</v>
      </c>
      <c r="J51" s="61">
        <v>0</v>
      </c>
      <c r="K51" s="47"/>
      <c r="AD51" s="47"/>
    </row>
    <row r="52" spans="1:30" x14ac:dyDescent="0.3">
      <c r="A52" s="1023"/>
      <c r="B52" s="1026"/>
      <c r="C52" s="1026"/>
      <c r="D52" s="58" t="s">
        <v>101</v>
      </c>
      <c r="E52" s="293">
        <v>77744.266776208649</v>
      </c>
      <c r="F52" s="294">
        <v>112988.51296979965</v>
      </c>
      <c r="G52" s="294">
        <v>39412.127691712951</v>
      </c>
      <c r="H52" s="60">
        <v>0</v>
      </c>
      <c r="I52" s="60">
        <v>0</v>
      </c>
      <c r="J52" s="61">
        <v>0</v>
      </c>
      <c r="K52" s="47"/>
      <c r="AD52" s="47"/>
    </row>
    <row r="53" spans="1:30" x14ac:dyDescent="0.3">
      <c r="A53" s="1023"/>
      <c r="B53" s="1026" t="s">
        <v>43</v>
      </c>
      <c r="C53" s="1026" t="s">
        <v>94</v>
      </c>
      <c r="D53" s="58" t="s">
        <v>95</v>
      </c>
      <c r="E53" s="293">
        <v>3154.5060200689622</v>
      </c>
      <c r="F53" s="294">
        <v>14497.458635387617</v>
      </c>
      <c r="G53" s="294">
        <v>78351.31027594459</v>
      </c>
      <c r="H53" s="60">
        <v>0</v>
      </c>
      <c r="I53" s="60">
        <v>0</v>
      </c>
      <c r="J53" s="61">
        <v>0</v>
      </c>
      <c r="K53" s="47"/>
      <c r="AD53" s="47"/>
    </row>
    <row r="54" spans="1:30" x14ac:dyDescent="0.3">
      <c r="A54" s="1023"/>
      <c r="B54" s="1026"/>
      <c r="C54" s="1026"/>
      <c r="D54" s="58" t="s">
        <v>96</v>
      </c>
      <c r="E54" s="293">
        <v>10396.394239189065</v>
      </c>
      <c r="F54" s="294">
        <v>66236.411490249171</v>
      </c>
      <c r="G54" s="294">
        <v>262450.32619468408</v>
      </c>
      <c r="H54" s="60">
        <v>0</v>
      </c>
      <c r="I54" s="60">
        <v>0</v>
      </c>
      <c r="J54" s="61">
        <v>0</v>
      </c>
      <c r="K54" s="47"/>
      <c r="AD54" s="47"/>
    </row>
    <row r="55" spans="1:30" x14ac:dyDescent="0.3">
      <c r="A55" s="1023"/>
      <c r="B55" s="1026"/>
      <c r="C55" s="1026"/>
      <c r="D55" s="58" t="s">
        <v>97</v>
      </c>
      <c r="E55" s="293">
        <v>13536.849083067573</v>
      </c>
      <c r="F55" s="294">
        <v>71284.038237022716</v>
      </c>
      <c r="G55" s="294">
        <v>220604.14570579352</v>
      </c>
      <c r="H55" s="60">
        <v>0</v>
      </c>
      <c r="I55" s="60">
        <v>0</v>
      </c>
      <c r="J55" s="61">
        <v>472.31975443946817</v>
      </c>
      <c r="K55" s="47"/>
      <c r="AD55" s="47"/>
    </row>
    <row r="56" spans="1:30" x14ac:dyDescent="0.3">
      <c r="A56" s="1023"/>
      <c r="B56" s="1026"/>
      <c r="C56" s="1026"/>
      <c r="D56" s="58" t="s">
        <v>98</v>
      </c>
      <c r="E56" s="293">
        <v>22260.403889478075</v>
      </c>
      <c r="F56" s="294">
        <v>92520.120880822258</v>
      </c>
      <c r="G56" s="294">
        <v>257040.82067165431</v>
      </c>
      <c r="H56" s="60">
        <v>0</v>
      </c>
      <c r="I56" s="60">
        <v>0</v>
      </c>
      <c r="J56" s="61">
        <v>375.5</v>
      </c>
      <c r="K56" s="47"/>
    </row>
    <row r="57" spans="1:30" x14ac:dyDescent="0.3">
      <c r="A57" s="1023"/>
      <c r="B57" s="1026"/>
      <c r="C57" s="1026"/>
      <c r="D57" s="58" t="s">
        <v>99</v>
      </c>
      <c r="E57" s="293">
        <v>18600.723765054256</v>
      </c>
      <c r="F57" s="294">
        <v>110541.50649485222</v>
      </c>
      <c r="G57" s="294">
        <v>309472.19586775906</v>
      </c>
      <c r="H57" s="60">
        <v>0</v>
      </c>
      <c r="I57" s="60">
        <v>0</v>
      </c>
      <c r="J57" s="61">
        <v>211.97169758362284</v>
      </c>
      <c r="K57" s="47"/>
    </row>
    <row r="58" spans="1:30" x14ac:dyDescent="0.3">
      <c r="A58" s="1023"/>
      <c r="B58" s="1026"/>
      <c r="C58" s="1026"/>
      <c r="D58" s="58" t="s">
        <v>100</v>
      </c>
      <c r="E58" s="293">
        <v>22526.959128572405</v>
      </c>
      <c r="F58" s="294">
        <v>93311.383813328895</v>
      </c>
      <c r="G58" s="294">
        <v>206186.27090175691</v>
      </c>
      <c r="H58" s="60">
        <v>0</v>
      </c>
      <c r="I58" s="60">
        <v>0</v>
      </c>
      <c r="J58" s="61">
        <v>0</v>
      </c>
      <c r="K58" s="47"/>
    </row>
    <row r="59" spans="1:30" ht="15" thickBot="1" x14ac:dyDescent="0.35">
      <c r="A59" s="1024"/>
      <c r="B59" s="1042"/>
      <c r="C59" s="1042"/>
      <c r="D59" s="62" t="s">
        <v>101</v>
      </c>
      <c r="E59" s="295">
        <v>21079.284445536981</v>
      </c>
      <c r="F59" s="296">
        <v>128265.61529824858</v>
      </c>
      <c r="G59" s="296">
        <v>251519.07494692403</v>
      </c>
      <c r="H59" s="64">
        <v>0</v>
      </c>
      <c r="I59" s="64">
        <v>0</v>
      </c>
      <c r="J59" s="65">
        <v>286.23935444389275</v>
      </c>
      <c r="K59" s="47"/>
    </row>
    <row r="60" spans="1:30" ht="15" thickTop="1" x14ac:dyDescent="0.3">
      <c r="A60" s="132"/>
      <c r="B60" s="132"/>
      <c r="C60" s="132"/>
      <c r="D60" s="66"/>
      <c r="E60" s="130"/>
      <c r="F60" s="130"/>
      <c r="G60" s="130"/>
      <c r="H60" s="130"/>
      <c r="I60" s="47"/>
    </row>
    <row r="61" spans="1:30" x14ac:dyDescent="0.3">
      <c r="A61" s="132"/>
      <c r="B61" s="132"/>
      <c r="C61" s="132"/>
      <c r="D61" s="66"/>
      <c r="E61" s="130"/>
      <c r="F61" s="130"/>
      <c r="G61" s="130"/>
      <c r="H61" s="130"/>
      <c r="I61" s="47"/>
    </row>
    <row r="62" spans="1:30" x14ac:dyDescent="0.3">
      <c r="A62" s="132"/>
      <c r="B62" s="132"/>
      <c r="C62" s="132"/>
      <c r="D62" s="66"/>
      <c r="E62" s="130"/>
      <c r="F62" s="130"/>
      <c r="G62" s="130"/>
      <c r="H62" s="130"/>
      <c r="I62" s="47"/>
    </row>
    <row r="63" spans="1:30" x14ac:dyDescent="0.3">
      <c r="A63" s="132"/>
      <c r="B63" s="132"/>
      <c r="C63" s="132"/>
      <c r="D63" s="66"/>
      <c r="E63" s="130">
        <f>SUM(E47:E52)</f>
        <v>302048.98400051426</v>
      </c>
      <c r="F63" s="130">
        <f t="shared" ref="F63:G63" si="15">SUM(F47:F52)</f>
        <v>502066.79071675532</v>
      </c>
      <c r="G63" s="130">
        <f t="shared" si="15"/>
        <v>205430.74409029886</v>
      </c>
      <c r="H63" s="130"/>
      <c r="I63" s="47"/>
    </row>
    <row r="64" spans="1:30" x14ac:dyDescent="0.3">
      <c r="A64" s="132"/>
      <c r="B64" s="132"/>
      <c r="C64" s="132"/>
      <c r="D64" s="66"/>
      <c r="E64" s="130"/>
      <c r="F64" s="130"/>
      <c r="G64" s="130"/>
      <c r="H64" s="130"/>
      <c r="I64" s="47"/>
    </row>
    <row r="65" spans="1:9" x14ac:dyDescent="0.3">
      <c r="A65" s="132"/>
      <c r="B65" s="132"/>
      <c r="C65" s="132"/>
      <c r="D65" s="132"/>
      <c r="E65" s="132"/>
      <c r="F65" s="132"/>
      <c r="G65" s="132"/>
      <c r="H65" s="132"/>
      <c r="I65" s="47"/>
    </row>
    <row r="67" spans="1:9" x14ac:dyDescent="0.3">
      <c r="I67" s="47"/>
    </row>
    <row r="68" spans="1:9" x14ac:dyDescent="0.3">
      <c r="I68" s="47"/>
    </row>
    <row r="69" spans="1:9" x14ac:dyDescent="0.3">
      <c r="I69" s="47"/>
    </row>
    <row r="70" spans="1:9" x14ac:dyDescent="0.3">
      <c r="I70" s="47"/>
    </row>
    <row r="71" spans="1:9" x14ac:dyDescent="0.3">
      <c r="I71" s="47"/>
    </row>
    <row r="72" spans="1:9" x14ac:dyDescent="0.3">
      <c r="I72" s="47"/>
    </row>
    <row r="73" spans="1:9" x14ac:dyDescent="0.3">
      <c r="I73" s="47"/>
    </row>
    <row r="74" spans="1:9" x14ac:dyDescent="0.3">
      <c r="I74" s="47"/>
    </row>
    <row r="75" spans="1:9" x14ac:dyDescent="0.3">
      <c r="I75" s="47"/>
    </row>
    <row r="76" spans="1:9" x14ac:dyDescent="0.3">
      <c r="I76" s="47"/>
    </row>
    <row r="77" spans="1:9" x14ac:dyDescent="0.3">
      <c r="I77" s="47"/>
    </row>
    <row r="78" spans="1:9" x14ac:dyDescent="0.3">
      <c r="I78" s="47"/>
    </row>
    <row r="79" spans="1:9" x14ac:dyDescent="0.3">
      <c r="I79" s="47"/>
    </row>
    <row r="80" spans="1:9" x14ac:dyDescent="0.3">
      <c r="I80" s="47"/>
    </row>
    <row r="81" spans="9:9" x14ac:dyDescent="0.3">
      <c r="I81" s="47"/>
    </row>
    <row r="82" spans="9:9" x14ac:dyDescent="0.3">
      <c r="I82" s="47"/>
    </row>
    <row r="83" spans="9:9" x14ac:dyDescent="0.3">
      <c r="I83" s="47"/>
    </row>
    <row r="84" spans="9:9" x14ac:dyDescent="0.3">
      <c r="I84" s="47"/>
    </row>
    <row r="85" spans="9:9" x14ac:dyDescent="0.3">
      <c r="I85" s="47"/>
    </row>
    <row r="86" spans="9:9" x14ac:dyDescent="0.3">
      <c r="I86" s="47"/>
    </row>
    <row r="87" spans="9:9" x14ac:dyDescent="0.3">
      <c r="I87" s="47"/>
    </row>
    <row r="88" spans="9:9" x14ac:dyDescent="0.3">
      <c r="I88" s="47"/>
    </row>
    <row r="89" spans="9:9" x14ac:dyDescent="0.3">
      <c r="I89" s="47"/>
    </row>
    <row r="90" spans="9:9" x14ac:dyDescent="0.3">
      <c r="I90" s="47"/>
    </row>
    <row r="91" spans="9:9" x14ac:dyDescent="0.3">
      <c r="I91" s="47"/>
    </row>
    <row r="92" spans="9:9" x14ac:dyDescent="0.3">
      <c r="I92" s="47"/>
    </row>
    <row r="93" spans="9:9" x14ac:dyDescent="0.3">
      <c r="I93" s="47"/>
    </row>
    <row r="94" spans="9:9" x14ac:dyDescent="0.3">
      <c r="I94" s="47"/>
    </row>
    <row r="95" spans="9:9" x14ac:dyDescent="0.3">
      <c r="I95" s="47"/>
    </row>
    <row r="96" spans="9:9" x14ac:dyDescent="0.3">
      <c r="I96" s="47"/>
    </row>
    <row r="97" spans="9:9" x14ac:dyDescent="0.3">
      <c r="I97" s="47"/>
    </row>
    <row r="98" spans="9:9" x14ac:dyDescent="0.3">
      <c r="I98" s="47"/>
    </row>
    <row r="99" spans="9:9" x14ac:dyDescent="0.3">
      <c r="I99" s="47"/>
    </row>
    <row r="100" spans="9:9" x14ac:dyDescent="0.3">
      <c r="I100" s="47"/>
    </row>
    <row r="101" spans="9:9" x14ac:dyDescent="0.3">
      <c r="I101" s="47"/>
    </row>
    <row r="102" spans="9:9" x14ac:dyDescent="0.3">
      <c r="I102" s="47"/>
    </row>
    <row r="103" spans="9:9" x14ac:dyDescent="0.3">
      <c r="I103" s="47"/>
    </row>
    <row r="104" spans="9:9" x14ac:dyDescent="0.3">
      <c r="I104" s="47"/>
    </row>
    <row r="105" spans="9:9" x14ac:dyDescent="0.3">
      <c r="I105" s="47"/>
    </row>
    <row r="106" spans="9:9" x14ac:dyDescent="0.3">
      <c r="I106" s="47"/>
    </row>
  </sheetData>
  <sheetProtection selectLockedCells="1" selectUnlockedCells="1"/>
  <mergeCells count="67">
    <mergeCell ref="A46:A59"/>
    <mergeCell ref="B46:B52"/>
    <mergeCell ref="C46:C52"/>
    <mergeCell ref="B53:B59"/>
    <mergeCell ref="E14:F14"/>
    <mergeCell ref="C15:D15"/>
    <mergeCell ref="E15:F15"/>
    <mergeCell ref="A18:A22"/>
    <mergeCell ref="A23:F23"/>
    <mergeCell ref="A13:B17"/>
    <mergeCell ref="C13:F13"/>
    <mergeCell ref="C53:C59"/>
    <mergeCell ref="F28:H28"/>
    <mergeCell ref="A26:B30"/>
    <mergeCell ref="C26:H26"/>
    <mergeCell ref="C27:E27"/>
    <mergeCell ref="P1:T1"/>
    <mergeCell ref="C14:D14"/>
    <mergeCell ref="A1:B5"/>
    <mergeCell ref="C1:F1"/>
    <mergeCell ref="C2:D2"/>
    <mergeCell ref="E2:F2"/>
    <mergeCell ref="C3:D3"/>
    <mergeCell ref="E3:F3"/>
    <mergeCell ref="A6:A10"/>
    <mergeCell ref="F27:H27"/>
    <mergeCell ref="C28:E28"/>
    <mergeCell ref="A11:F11"/>
    <mergeCell ref="A31:A37"/>
    <mergeCell ref="A41:D45"/>
    <mergeCell ref="E41:J41"/>
    <mergeCell ref="E42:G42"/>
    <mergeCell ref="H42:J42"/>
    <mergeCell ref="E43:G43"/>
    <mergeCell ref="H43:J43"/>
    <mergeCell ref="AM5:AN5"/>
    <mergeCell ref="AI8:AI21"/>
    <mergeCell ref="AJ8:AJ14"/>
    <mergeCell ref="AJ15:AJ21"/>
    <mergeCell ref="AK15:AK21"/>
    <mergeCell ref="Y1:Z3"/>
    <mergeCell ref="AA1:AB1"/>
    <mergeCell ref="Y4:Y5"/>
    <mergeCell ref="AI5:AL7"/>
    <mergeCell ref="AK8:AK14"/>
    <mergeCell ref="X13:AA17"/>
    <mergeCell ref="AB13:AG13"/>
    <mergeCell ref="AB14:AD14"/>
    <mergeCell ref="AE14:AG14"/>
    <mergeCell ref="AB15:AD15"/>
    <mergeCell ref="AE15:AG15"/>
    <mergeCell ref="X18:X31"/>
    <mergeCell ref="Y18:Y24"/>
    <mergeCell ref="Z18:Z24"/>
    <mergeCell ref="AP5:AS9"/>
    <mergeCell ref="AT5:AW5"/>
    <mergeCell ref="AT6:AU6"/>
    <mergeCell ref="AV6:AW6"/>
    <mergeCell ref="AT7:AU7"/>
    <mergeCell ref="AV7:AW7"/>
    <mergeCell ref="AP10:AP23"/>
    <mergeCell ref="AQ10:AQ16"/>
    <mergeCell ref="AR10:AR16"/>
    <mergeCell ref="AQ17:AQ23"/>
    <mergeCell ref="AR17:AR23"/>
    <mergeCell ref="Y25:Y31"/>
    <mergeCell ref="Z25:Z3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CC66FF"/>
  </sheetPr>
  <dimension ref="A1:R43"/>
  <sheetViews>
    <sheetView zoomScale="110" zoomScaleNormal="11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S14" sqref="S14"/>
    </sheetView>
  </sheetViews>
  <sheetFormatPr baseColWidth="10" defaultRowHeight="14.4" x14ac:dyDescent="0.3"/>
  <cols>
    <col min="1" max="1" width="28.44140625" customWidth="1"/>
    <col min="2" max="5" width="10.5546875" bestFit="1" customWidth="1"/>
    <col min="6" max="6" width="8.88671875" bestFit="1" customWidth="1"/>
    <col min="7" max="12" width="10.5546875" bestFit="1" customWidth="1"/>
    <col min="13" max="13" width="11.88671875" bestFit="1" customWidth="1"/>
    <col min="14" max="15" width="10.5546875" bestFit="1" customWidth="1"/>
  </cols>
  <sheetData>
    <row r="1" spans="1:18" ht="16.5" customHeight="1" thickBot="1" x14ac:dyDescent="0.35">
      <c r="A1" s="106"/>
      <c r="B1" s="1045" t="s">
        <v>0</v>
      </c>
      <c r="C1" s="1046"/>
      <c r="D1" s="1046"/>
      <c r="E1" s="1047"/>
      <c r="F1" s="1048" t="s">
        <v>1</v>
      </c>
      <c r="G1" s="1049"/>
      <c r="H1" s="1049"/>
      <c r="I1" s="1050"/>
      <c r="J1" s="1051" t="s">
        <v>2</v>
      </c>
      <c r="K1" s="1052"/>
      <c r="L1" s="1052"/>
      <c r="M1" s="1053"/>
      <c r="N1" s="658" t="s">
        <v>3</v>
      </c>
      <c r="O1" s="659" t="s">
        <v>4</v>
      </c>
    </row>
    <row r="2" spans="1:18" ht="16.2" thickBot="1" x14ac:dyDescent="0.35">
      <c r="A2" s="112"/>
      <c r="B2" s="685" t="s">
        <v>5</v>
      </c>
      <c r="C2" s="661" t="s">
        <v>6</v>
      </c>
      <c r="D2" s="661" t="s">
        <v>7</v>
      </c>
      <c r="E2" s="662" t="s">
        <v>8</v>
      </c>
      <c r="F2" s="660" t="s">
        <v>5</v>
      </c>
      <c r="G2" s="661" t="s">
        <v>6</v>
      </c>
      <c r="H2" s="661" t="s">
        <v>7</v>
      </c>
      <c r="I2" s="662" t="s">
        <v>8</v>
      </c>
      <c r="J2" s="685" t="s">
        <v>5</v>
      </c>
      <c r="K2" s="661" t="s">
        <v>6</v>
      </c>
      <c r="L2" s="661" t="s">
        <v>7</v>
      </c>
      <c r="M2" s="689" t="s">
        <v>8</v>
      </c>
      <c r="N2" s="685" t="s">
        <v>8</v>
      </c>
      <c r="O2" s="662" t="s">
        <v>8</v>
      </c>
    </row>
    <row r="3" spans="1:18" ht="15.75" customHeight="1" thickBot="1" x14ac:dyDescent="0.35">
      <c r="A3" s="672" t="s">
        <v>132</v>
      </c>
      <c r="B3" s="674">
        <f>+Uni_Lima_Cdes16!B5</f>
        <v>594747</v>
      </c>
      <c r="C3" s="674">
        <f>+Uni_Lima_Cdes16!C5</f>
        <v>1055953</v>
      </c>
      <c r="D3" s="674">
        <f>+Uni_Lima_Cdes16!D5</f>
        <v>904854</v>
      </c>
      <c r="E3" s="675">
        <f t="shared" ref="E3:E9" si="0">+B3+C3+D3</f>
        <v>2555554</v>
      </c>
      <c r="F3" s="674">
        <f>+Uni_Lima_Cdes16!L5</f>
        <v>146620</v>
      </c>
      <c r="G3" s="674">
        <f>+Uni_Lima_Cdes16!M5</f>
        <v>322956</v>
      </c>
      <c r="H3" s="674">
        <f>+Uni_Lima_Cdes16!N5</f>
        <v>404320</v>
      </c>
      <c r="I3" s="675">
        <f>+F3+G3+H3</f>
        <v>873896</v>
      </c>
      <c r="J3" s="674">
        <f>+B3+F3</f>
        <v>741367</v>
      </c>
      <c r="K3" s="690">
        <f t="shared" ref="K3:M4" si="1">+C3+G3</f>
        <v>1378909</v>
      </c>
      <c r="L3" s="690">
        <f t="shared" si="1"/>
        <v>1309174</v>
      </c>
      <c r="M3" s="691">
        <f t="shared" si="1"/>
        <v>3429450</v>
      </c>
      <c r="N3" s="674">
        <f>+Uni_Lima_Cdes16!P5</f>
        <v>444303</v>
      </c>
      <c r="O3" s="686">
        <f>+Uni_Lima_Cdes16!Q5</f>
        <v>429593</v>
      </c>
    </row>
    <row r="4" spans="1:18" ht="15.6" x14ac:dyDescent="0.3">
      <c r="A4" s="672" t="s">
        <v>10</v>
      </c>
      <c r="B4" s="673">
        <f>+Uni_Lima_Cdes16!B3</f>
        <v>546689</v>
      </c>
      <c r="C4" s="673">
        <f>+Uni_Lima_Cdes16!C3</f>
        <v>769791</v>
      </c>
      <c r="D4" s="673">
        <f>+Uni_Lima_Cdes16!D3</f>
        <v>458482</v>
      </c>
      <c r="E4" s="677">
        <f t="shared" si="0"/>
        <v>1774962</v>
      </c>
      <c r="F4" s="673">
        <f>+Uni_Lima_Cdes16!L3</f>
        <v>119484</v>
      </c>
      <c r="G4" s="673">
        <f>+Uni_Lima_Cdes16!M3</f>
        <v>160003</v>
      </c>
      <c r="H4" s="673">
        <f>+Uni_Lima_Cdes16!N3</f>
        <v>70520</v>
      </c>
      <c r="I4" s="675">
        <f>+F4+G4+H4</f>
        <v>350007</v>
      </c>
      <c r="J4" s="673">
        <f>+B4+F4</f>
        <v>666173</v>
      </c>
      <c r="K4" s="676">
        <f t="shared" si="1"/>
        <v>929794</v>
      </c>
      <c r="L4" s="676">
        <f t="shared" si="1"/>
        <v>529002</v>
      </c>
      <c r="M4" s="692">
        <f t="shared" si="1"/>
        <v>2124969</v>
      </c>
      <c r="N4" s="673"/>
      <c r="O4" s="677"/>
    </row>
    <row r="5" spans="1:18" ht="15.6" x14ac:dyDescent="0.3">
      <c r="A5" s="663" t="s">
        <v>35</v>
      </c>
      <c r="B5" s="664">
        <f>+B9+B12+B15+B18+B21+B24</f>
        <v>2152886</v>
      </c>
      <c r="C5" s="664">
        <f t="shared" ref="C5:D5" si="2">+C9+C12+C15+C18+C21+C24</f>
        <v>4088705.3024557307</v>
      </c>
      <c r="D5" s="664">
        <f t="shared" si="2"/>
        <v>3173354</v>
      </c>
      <c r="E5" s="665">
        <f t="shared" si="0"/>
        <v>9414945.3024557307</v>
      </c>
      <c r="F5" s="664">
        <f>+Uni_Lima_Cdes16!L10</f>
        <v>558129</v>
      </c>
      <c r="G5" s="664">
        <f>+Uni_Lima_Cdes16!M10</f>
        <v>1264018</v>
      </c>
      <c r="H5" s="664">
        <f>+Uni_Lima_Cdes16!N10</f>
        <v>1486794</v>
      </c>
      <c r="I5" s="665">
        <f>+F5+G5+H5</f>
        <v>3308941</v>
      </c>
      <c r="J5" s="664">
        <f>+B5+F5</f>
        <v>2711015</v>
      </c>
      <c r="K5" s="666">
        <f>+C5+G5</f>
        <v>5352723.3024557307</v>
      </c>
      <c r="L5" s="666">
        <f>+D5+H5</f>
        <v>4660148</v>
      </c>
      <c r="M5" s="693">
        <f>+E5+I5</f>
        <v>12723886.302455731</v>
      </c>
      <c r="N5" s="664">
        <f>+Uni_Lima_Cdes16!P10</f>
        <v>1743923</v>
      </c>
      <c r="O5" s="687">
        <f>+Uni_Lima_Cdes16!Q10</f>
        <v>1565018</v>
      </c>
    </row>
    <row r="6" spans="1:18" ht="15.6" x14ac:dyDescent="0.3">
      <c r="A6" s="663" t="s">
        <v>148</v>
      </c>
      <c r="B6" s="664">
        <f>+Uni_Lima_Cdes16!B11</f>
        <v>1974602</v>
      </c>
      <c r="C6" s="664">
        <f>+Uni_Lima_Cdes16!C11</f>
        <v>3064703</v>
      </c>
      <c r="D6" s="664">
        <f>+Uni_Lima_Cdes16!D11</f>
        <v>1680860</v>
      </c>
      <c r="E6" s="665">
        <f t="shared" si="0"/>
        <v>6720165</v>
      </c>
      <c r="F6" s="664"/>
      <c r="G6" s="664"/>
      <c r="H6" s="664"/>
      <c r="I6" s="665">
        <f>+Uni_Lima_Cdes16!O11</f>
        <v>1352705</v>
      </c>
      <c r="J6" s="664"/>
      <c r="K6" s="666"/>
      <c r="L6" s="666"/>
      <c r="M6" s="693">
        <f>+E6+I6</f>
        <v>8072870</v>
      </c>
      <c r="N6" s="667"/>
      <c r="O6" s="668"/>
    </row>
    <row r="7" spans="1:18" ht="15.6" x14ac:dyDescent="0.3">
      <c r="A7" s="663" t="s">
        <v>144</v>
      </c>
      <c r="B7" s="664">
        <f>+B11+B14+B17+B20+B23+B26</f>
        <v>1112164</v>
      </c>
      <c r="C7" s="664">
        <f t="shared" ref="C7:D7" si="3">+C11+C14+C17+C20+C23+C26</f>
        <v>2113684</v>
      </c>
      <c r="D7" s="664">
        <f t="shared" si="3"/>
        <v>1626807</v>
      </c>
      <c r="E7" s="665">
        <f t="shared" si="0"/>
        <v>4852655</v>
      </c>
      <c r="F7" s="664">
        <f>+Uni_Lima_Cdes16!L14</f>
        <v>286742</v>
      </c>
      <c r="G7" s="664">
        <f>+Uni_Lima_Cdes16!M14</f>
        <v>662374.69590846973</v>
      </c>
      <c r="H7" s="664">
        <f>+Uni_Lima_Cdes16!N14</f>
        <v>771149</v>
      </c>
      <c r="I7" s="665">
        <f>+Uni_Lima_Cdes16!O14</f>
        <v>1720265.6959084696</v>
      </c>
      <c r="J7" s="664">
        <f>+B7+F7</f>
        <v>1398906</v>
      </c>
      <c r="K7" s="666">
        <f t="shared" ref="K7:L9" si="4">+C7+G7</f>
        <v>2776058.6959084696</v>
      </c>
      <c r="L7" s="666">
        <f t="shared" si="4"/>
        <v>2397956</v>
      </c>
      <c r="M7" s="693">
        <f>+E7+I7</f>
        <v>6572920.6959084701</v>
      </c>
      <c r="N7" s="664">
        <f>+Uni_Lima_Cdes16!P14</f>
        <v>905483</v>
      </c>
      <c r="O7" s="687">
        <f>+Uni_Lima_Cdes16!Q14</f>
        <v>814782</v>
      </c>
      <c r="P7" s="38"/>
      <c r="Q7" s="38"/>
    </row>
    <row r="8" spans="1:18" ht="15.6" x14ac:dyDescent="0.3">
      <c r="A8" s="663" t="s">
        <v>145</v>
      </c>
      <c r="B8" s="664">
        <f>+B10+B13+B16+B19+B22+B25</f>
        <v>1040722</v>
      </c>
      <c r="C8" s="664">
        <f>+C10+C13+C16+C19+C22+C25</f>
        <v>1975021.302455731</v>
      </c>
      <c r="D8" s="664">
        <f t="shared" ref="D8" si="5">+D10+D13+D16+D19+D22+D25</f>
        <v>1546547</v>
      </c>
      <c r="E8" s="665">
        <f t="shared" si="0"/>
        <v>4562290.3024557307</v>
      </c>
      <c r="F8" s="664">
        <f>+Uni_Lima_Cdes16!L15</f>
        <v>271387</v>
      </c>
      <c r="G8" s="664">
        <f>+Uni_Lima_Cdes16!M15</f>
        <v>601643</v>
      </c>
      <c r="H8" s="664">
        <f>+Uni_Lima_Cdes16!N15</f>
        <v>715645</v>
      </c>
      <c r="I8" s="665">
        <f>+Uni_Lima_Cdes16!O15</f>
        <v>1588675</v>
      </c>
      <c r="J8" s="664">
        <f>+B8+F8</f>
        <v>1312109</v>
      </c>
      <c r="K8" s="666">
        <f t="shared" si="4"/>
        <v>2576664.3024557307</v>
      </c>
      <c r="L8" s="666">
        <f t="shared" si="4"/>
        <v>2262192</v>
      </c>
      <c r="M8" s="693">
        <f>+E8+I8</f>
        <v>6150965.3024557307</v>
      </c>
      <c r="N8" s="664">
        <f>+Uni_Lima_Cdes16!P15</f>
        <v>838440</v>
      </c>
      <c r="O8" s="687">
        <f>+Uni_Lima_Cdes16!Q15</f>
        <v>750236</v>
      </c>
    </row>
    <row r="9" spans="1:18" ht="15.6" x14ac:dyDescent="0.3">
      <c r="A9" s="678" t="s">
        <v>34</v>
      </c>
      <c r="B9" s="679">
        <f>+B10+B11</f>
        <v>224650</v>
      </c>
      <c r="C9" s="679">
        <f t="shared" ref="C9:D9" si="6">+C10+C11</f>
        <v>537123</v>
      </c>
      <c r="D9" s="679">
        <f t="shared" si="6"/>
        <v>544980</v>
      </c>
      <c r="E9" s="680">
        <f t="shared" si="0"/>
        <v>1306753</v>
      </c>
      <c r="F9" s="679">
        <f>+Uni_Lima_Cdes16!L17</f>
        <v>62810</v>
      </c>
      <c r="G9" s="679">
        <f>+Uni_Lima_Cdes16!M17</f>
        <v>175731</v>
      </c>
      <c r="H9" s="679">
        <f>+Uni_Lima_Cdes16!N17</f>
        <v>251078</v>
      </c>
      <c r="I9" s="680">
        <f>+F9+G9+H9</f>
        <v>489619</v>
      </c>
      <c r="J9" s="679">
        <f>+B9+F9</f>
        <v>287460</v>
      </c>
      <c r="K9" s="681">
        <f t="shared" si="4"/>
        <v>712854</v>
      </c>
      <c r="L9" s="681">
        <f t="shared" si="4"/>
        <v>796058</v>
      </c>
      <c r="M9" s="694">
        <f t="shared" ref="M9" si="7">+E9+I9</f>
        <v>1796372</v>
      </c>
      <c r="N9" s="679"/>
      <c r="O9" s="680"/>
      <c r="P9" s="38"/>
      <c r="Q9" s="38"/>
      <c r="R9" s="38"/>
    </row>
    <row r="10" spans="1:18" ht="15.6" x14ac:dyDescent="0.3">
      <c r="A10" s="682" t="s">
        <v>36</v>
      </c>
      <c r="B10" s="683">
        <f>+Uni_Lima_Cdes16!B18</f>
        <v>105718</v>
      </c>
      <c r="C10" s="683">
        <f>+Uni_Lima_Cdes16!C18</f>
        <v>266954</v>
      </c>
      <c r="D10" s="683">
        <f>+Uni_Lima_Cdes16!D18</f>
        <v>269744</v>
      </c>
      <c r="E10" s="684">
        <f t="shared" ref="E10:E26" si="8">+B10+C10+D10</f>
        <v>642416</v>
      </c>
      <c r="F10" s="683"/>
      <c r="G10" s="683"/>
      <c r="H10" s="683"/>
      <c r="I10" s="680"/>
      <c r="J10" s="679"/>
      <c r="K10" s="681"/>
      <c r="L10" s="681"/>
      <c r="M10" s="694"/>
      <c r="N10" s="683"/>
      <c r="O10" s="684"/>
    </row>
    <row r="11" spans="1:18" ht="15.6" x14ac:dyDescent="0.3">
      <c r="A11" s="682" t="s">
        <v>37</v>
      </c>
      <c r="B11" s="683">
        <f>+Uni_Lima_Cdes16!B19</f>
        <v>118932</v>
      </c>
      <c r="C11" s="683">
        <f>+Uni_Lima_Cdes16!C19</f>
        <v>270169</v>
      </c>
      <c r="D11" s="683">
        <f>+Uni_Lima_Cdes16!D19</f>
        <v>275236</v>
      </c>
      <c r="E11" s="684">
        <f t="shared" si="8"/>
        <v>664337</v>
      </c>
      <c r="F11" s="683"/>
      <c r="G11" s="683"/>
      <c r="H11" s="683"/>
      <c r="I11" s="680"/>
      <c r="J11" s="679"/>
      <c r="K11" s="681"/>
      <c r="L11" s="681"/>
      <c r="M11" s="694"/>
      <c r="N11" s="683"/>
      <c r="O11" s="684"/>
    </row>
    <row r="12" spans="1:18" ht="15.6" x14ac:dyDescent="0.3">
      <c r="A12" s="678" t="s">
        <v>14</v>
      </c>
      <c r="B12" s="679">
        <f>+B13+B14</f>
        <v>210009</v>
      </c>
      <c r="C12" s="679">
        <f t="shared" ref="C12:D12" si="9">+C13+C14</f>
        <v>482797</v>
      </c>
      <c r="D12" s="679">
        <f t="shared" si="9"/>
        <v>358809</v>
      </c>
      <c r="E12" s="680">
        <f t="shared" si="8"/>
        <v>1051615</v>
      </c>
      <c r="F12" s="679">
        <f>+Uni_Lima_Cdes16!L20</f>
        <v>61876</v>
      </c>
      <c r="G12" s="679">
        <f>+Uni_Lima_Cdes16!M20</f>
        <v>146544.69590846973</v>
      </c>
      <c r="H12" s="679">
        <f>+Uni_Lima_Cdes16!N20</f>
        <v>184563</v>
      </c>
      <c r="I12" s="680">
        <f t="shared" ref="I12:I24" si="10">+F12+G12+H12</f>
        <v>392983.69590846973</v>
      </c>
      <c r="J12" s="679">
        <f>+B12+F12</f>
        <v>271885</v>
      </c>
      <c r="K12" s="681">
        <f t="shared" ref="K12:L12" si="11">+C12+G12</f>
        <v>629341.69590846973</v>
      </c>
      <c r="L12" s="681">
        <f t="shared" si="11"/>
        <v>543372</v>
      </c>
      <c r="M12" s="694">
        <f>+E12+I12</f>
        <v>1444598.6959084696</v>
      </c>
      <c r="N12" s="679"/>
      <c r="O12" s="680"/>
    </row>
    <row r="13" spans="1:18" ht="15.6" x14ac:dyDescent="0.3">
      <c r="A13" s="682" t="s">
        <v>15</v>
      </c>
      <c r="B13" s="683">
        <f>+Uni_Lima_Cdes16!B21</f>
        <v>124024</v>
      </c>
      <c r="C13" s="683">
        <f>+Uni_Lima_Cdes16!C21</f>
        <v>247052</v>
      </c>
      <c r="D13" s="683">
        <f>+Uni_Lima_Cdes16!D21</f>
        <v>162993</v>
      </c>
      <c r="E13" s="684">
        <f t="shared" si="8"/>
        <v>534069</v>
      </c>
      <c r="F13" s="683"/>
      <c r="G13" s="683"/>
      <c r="H13" s="683"/>
      <c r="I13" s="680"/>
      <c r="J13" s="679"/>
      <c r="K13" s="681"/>
      <c r="L13" s="681"/>
      <c r="M13" s="694"/>
      <c r="N13" s="683"/>
      <c r="O13" s="684"/>
    </row>
    <row r="14" spans="1:18" ht="15.6" x14ac:dyDescent="0.3">
      <c r="A14" s="682" t="s">
        <v>16</v>
      </c>
      <c r="B14" s="683">
        <f>+Uni_Lima_Cdes16!B22</f>
        <v>85985</v>
      </c>
      <c r="C14" s="683">
        <f>+Uni_Lima_Cdes16!C22</f>
        <v>235745</v>
      </c>
      <c r="D14" s="683">
        <f>+Uni_Lima_Cdes16!D22</f>
        <v>195816</v>
      </c>
      <c r="E14" s="684">
        <f t="shared" si="8"/>
        <v>517546</v>
      </c>
      <c r="F14" s="683"/>
      <c r="G14" s="683"/>
      <c r="H14" s="683"/>
      <c r="I14" s="680"/>
      <c r="J14" s="679"/>
      <c r="K14" s="681"/>
      <c r="L14" s="681"/>
      <c r="M14" s="694"/>
      <c r="N14" s="683"/>
      <c r="O14" s="684"/>
    </row>
    <row r="15" spans="1:18" ht="15.6" x14ac:dyDescent="0.3">
      <c r="A15" s="678" t="s">
        <v>17</v>
      </c>
      <c r="B15" s="679">
        <f>+B16+B17</f>
        <v>298740</v>
      </c>
      <c r="C15" s="679">
        <f t="shared" ref="C15:D15" si="12">+C16+C17</f>
        <v>673599</v>
      </c>
      <c r="D15" s="679">
        <f t="shared" si="12"/>
        <v>564463</v>
      </c>
      <c r="E15" s="680">
        <f t="shared" si="8"/>
        <v>1536802</v>
      </c>
      <c r="F15" s="679">
        <f>+Uni_Lima_Cdes16!L23</f>
        <v>87676</v>
      </c>
      <c r="G15" s="679">
        <f>+Uni_Lima_Cdes16!M23</f>
        <v>208590</v>
      </c>
      <c r="H15" s="679">
        <f>+Uni_Lima_Cdes16!N23</f>
        <v>280125</v>
      </c>
      <c r="I15" s="680">
        <f t="shared" si="10"/>
        <v>576391</v>
      </c>
      <c r="J15" s="679">
        <f>+B15+F15</f>
        <v>386416</v>
      </c>
      <c r="K15" s="681">
        <f t="shared" ref="K15" si="13">+C15+G15</f>
        <v>882189</v>
      </c>
      <c r="L15" s="681">
        <f t="shared" ref="L15" si="14">+D15+H15</f>
        <v>844588</v>
      </c>
      <c r="M15" s="694">
        <f>+E15+I15</f>
        <v>2113193</v>
      </c>
      <c r="N15" s="679"/>
      <c r="O15" s="680"/>
    </row>
    <row r="16" spans="1:18" ht="15.6" x14ac:dyDescent="0.3">
      <c r="A16" s="682" t="s">
        <v>18</v>
      </c>
      <c r="B16" s="683">
        <f>+Uni_Lima_Cdes16!B24</f>
        <v>143959</v>
      </c>
      <c r="C16" s="683">
        <f>+Uni_Lima_Cdes16!C24</f>
        <v>336515</v>
      </c>
      <c r="D16" s="683">
        <f>+Uni_Lima_Cdes16!D24</f>
        <v>276698</v>
      </c>
      <c r="E16" s="684">
        <f t="shared" si="8"/>
        <v>757172</v>
      </c>
      <c r="F16" s="683"/>
      <c r="G16" s="683"/>
      <c r="H16" s="683"/>
      <c r="I16" s="680"/>
      <c r="J16" s="679"/>
      <c r="K16" s="681"/>
      <c r="L16" s="681"/>
      <c r="M16" s="694"/>
      <c r="N16" s="683"/>
      <c r="O16" s="684"/>
    </row>
    <row r="17" spans="1:15" ht="15.6" x14ac:dyDescent="0.3">
      <c r="A17" s="682" t="s">
        <v>19</v>
      </c>
      <c r="B17" s="683">
        <f>+Uni_Lima_Cdes16!B25</f>
        <v>154781</v>
      </c>
      <c r="C17" s="683">
        <f>+Uni_Lima_Cdes16!C25</f>
        <v>337084</v>
      </c>
      <c r="D17" s="683">
        <f>+Uni_Lima_Cdes16!D25</f>
        <v>287765</v>
      </c>
      <c r="E17" s="684">
        <f t="shared" si="8"/>
        <v>779630</v>
      </c>
      <c r="F17" s="683"/>
      <c r="G17" s="683"/>
      <c r="H17" s="683"/>
      <c r="I17" s="680"/>
      <c r="J17" s="679"/>
      <c r="K17" s="681"/>
      <c r="L17" s="681"/>
      <c r="M17" s="694"/>
      <c r="N17" s="683"/>
      <c r="O17" s="684"/>
    </row>
    <row r="18" spans="1:15" ht="15.6" x14ac:dyDescent="0.3">
      <c r="A18" s="678" t="s">
        <v>20</v>
      </c>
      <c r="B18" s="679">
        <f>+B19+B20</f>
        <v>414753</v>
      </c>
      <c r="C18" s="679">
        <f t="shared" ref="C18:D18" si="15">+C19+C20</f>
        <v>784482</v>
      </c>
      <c r="D18" s="679">
        <f t="shared" si="15"/>
        <v>678609</v>
      </c>
      <c r="E18" s="680">
        <f t="shared" si="8"/>
        <v>1877844</v>
      </c>
      <c r="F18" s="679">
        <f>+Uni_Lima_Cdes16!L26</f>
        <v>104336</v>
      </c>
      <c r="G18" s="679">
        <f>+Uni_Lima_Cdes16!M26</f>
        <v>245219</v>
      </c>
      <c r="H18" s="679">
        <f>+Uni_Lima_Cdes16!N26</f>
        <v>312543</v>
      </c>
      <c r="I18" s="680">
        <f t="shared" si="10"/>
        <v>662098</v>
      </c>
      <c r="J18" s="679">
        <f>+B18+F18</f>
        <v>519089</v>
      </c>
      <c r="K18" s="681">
        <f t="shared" ref="K18" si="16">+C18+G18</f>
        <v>1029701</v>
      </c>
      <c r="L18" s="681">
        <f t="shared" ref="L18" si="17">+D18+H18</f>
        <v>991152</v>
      </c>
      <c r="M18" s="694">
        <f>+E18+I18</f>
        <v>2539942</v>
      </c>
      <c r="N18" s="679"/>
      <c r="O18" s="680"/>
    </row>
    <row r="19" spans="1:15" ht="15.6" x14ac:dyDescent="0.3">
      <c r="A19" s="682" t="s">
        <v>21</v>
      </c>
      <c r="B19" s="683">
        <f>+Uni_Lima_Cdes16!B27</f>
        <v>197672</v>
      </c>
      <c r="C19" s="683">
        <f>+Uni_Lima_Cdes16!C27</f>
        <v>377934</v>
      </c>
      <c r="D19" s="683">
        <f>+Uni_Lima_Cdes16!D27</f>
        <v>344739</v>
      </c>
      <c r="E19" s="684">
        <f t="shared" si="8"/>
        <v>920345</v>
      </c>
      <c r="F19" s="683"/>
      <c r="G19" s="683"/>
      <c r="H19" s="683"/>
      <c r="I19" s="680"/>
      <c r="J19" s="679"/>
      <c r="K19" s="681"/>
      <c r="L19" s="681"/>
      <c r="M19" s="694"/>
      <c r="N19" s="683"/>
      <c r="O19" s="684"/>
    </row>
    <row r="20" spans="1:15" ht="15.6" x14ac:dyDescent="0.3">
      <c r="A20" s="682" t="s">
        <v>22</v>
      </c>
      <c r="B20" s="683">
        <f>+Uni_Lima_Cdes16!B28</f>
        <v>217081</v>
      </c>
      <c r="C20" s="683">
        <f>+Uni_Lima_Cdes16!C28</f>
        <v>406548</v>
      </c>
      <c r="D20" s="683">
        <f>+Uni_Lima_Cdes16!D28</f>
        <v>333870</v>
      </c>
      <c r="E20" s="684">
        <f t="shared" si="8"/>
        <v>957499</v>
      </c>
      <c r="F20" s="683"/>
      <c r="G20" s="683"/>
      <c r="H20" s="683"/>
      <c r="I20" s="680"/>
      <c r="J20" s="679"/>
      <c r="K20" s="681"/>
      <c r="L20" s="681"/>
      <c r="M20" s="694"/>
      <c r="N20" s="683"/>
      <c r="O20" s="684"/>
    </row>
    <row r="21" spans="1:15" ht="15.6" x14ac:dyDescent="0.3">
      <c r="A21" s="678" t="s">
        <v>23</v>
      </c>
      <c r="B21" s="679">
        <f>+B22+B23</f>
        <v>384870</v>
      </c>
      <c r="C21" s="679">
        <f t="shared" ref="C21:D21" si="18">+C22+C23</f>
        <v>734060.30245573097</v>
      </c>
      <c r="D21" s="679">
        <f t="shared" si="18"/>
        <v>505532</v>
      </c>
      <c r="E21" s="680">
        <f t="shared" si="8"/>
        <v>1624462.302455731</v>
      </c>
      <c r="F21" s="679">
        <f>+Uni_Lima_Cdes16!L29</f>
        <v>99155</v>
      </c>
      <c r="G21" s="679">
        <f>+Uni_Lima_Cdes16!M29</f>
        <v>207420</v>
      </c>
      <c r="H21" s="679">
        <f>+Uni_Lima_Cdes16!N29</f>
        <v>203110</v>
      </c>
      <c r="I21" s="680">
        <f t="shared" si="10"/>
        <v>509685</v>
      </c>
      <c r="J21" s="679">
        <f>+B21+F21</f>
        <v>484025</v>
      </c>
      <c r="K21" s="681">
        <f t="shared" ref="K21" si="19">+C21+G21</f>
        <v>941480.30245573097</v>
      </c>
      <c r="L21" s="681">
        <f t="shared" ref="L21" si="20">+D21+H21</f>
        <v>708642</v>
      </c>
      <c r="M21" s="694">
        <f>+E21+I21</f>
        <v>2134147.3024557307</v>
      </c>
      <c r="N21" s="679"/>
      <c r="O21" s="680"/>
    </row>
    <row r="22" spans="1:15" ht="15.6" x14ac:dyDescent="0.3">
      <c r="A22" s="682" t="s">
        <v>24</v>
      </c>
      <c r="B22" s="683">
        <f>+Uni_Lima_Cdes16!B30</f>
        <v>181748</v>
      </c>
      <c r="C22" s="683">
        <f>+Uni_Lima_Cdes16!C30</f>
        <v>336490.30245573097</v>
      </c>
      <c r="D22" s="683">
        <f>+Uni_Lima_Cdes16!D30</f>
        <v>242679</v>
      </c>
      <c r="E22" s="684">
        <f t="shared" si="8"/>
        <v>760917.30245573097</v>
      </c>
      <c r="F22" s="683"/>
      <c r="G22" s="683"/>
      <c r="H22" s="683"/>
      <c r="I22" s="680"/>
      <c r="J22" s="679"/>
      <c r="K22" s="681"/>
      <c r="L22" s="681"/>
      <c r="M22" s="694"/>
      <c r="N22" s="683"/>
      <c r="O22" s="684"/>
    </row>
    <row r="23" spans="1:15" ht="15.6" x14ac:dyDescent="0.3">
      <c r="A23" s="682" t="s">
        <v>25</v>
      </c>
      <c r="B23" s="683">
        <f>+Uni_Lima_Cdes16!B31</f>
        <v>203122</v>
      </c>
      <c r="C23" s="683">
        <f>+Uni_Lima_Cdes16!C31</f>
        <v>397570</v>
      </c>
      <c r="D23" s="683">
        <f>+Uni_Lima_Cdes16!D31</f>
        <v>262853</v>
      </c>
      <c r="E23" s="684">
        <f t="shared" si="8"/>
        <v>863545</v>
      </c>
      <c r="F23" s="683"/>
      <c r="G23" s="683"/>
      <c r="H23" s="683"/>
      <c r="I23" s="680"/>
      <c r="J23" s="679"/>
      <c r="K23" s="681"/>
      <c r="L23" s="681"/>
      <c r="M23" s="694"/>
      <c r="N23" s="683"/>
      <c r="O23" s="684"/>
    </row>
    <row r="24" spans="1:15" ht="15.6" x14ac:dyDescent="0.3">
      <c r="A24" s="678" t="s">
        <v>26</v>
      </c>
      <c r="B24" s="679">
        <f>+B25+B26</f>
        <v>619864</v>
      </c>
      <c r="C24" s="679">
        <f t="shared" ref="C24:D24" si="21">+C25+C26</f>
        <v>876644</v>
      </c>
      <c r="D24" s="679">
        <f t="shared" si="21"/>
        <v>520961</v>
      </c>
      <c r="E24" s="680">
        <f t="shared" si="8"/>
        <v>2017469</v>
      </c>
      <c r="F24" s="679">
        <f>+Uni_Lima_Cdes16!L32</f>
        <v>142276</v>
      </c>
      <c r="G24" s="679">
        <f>+Uni_Lima_Cdes16!M32</f>
        <v>280513</v>
      </c>
      <c r="H24" s="679">
        <f>+Uni_Lima_Cdes16!N32</f>
        <v>255375</v>
      </c>
      <c r="I24" s="680">
        <f t="shared" si="10"/>
        <v>678164</v>
      </c>
      <c r="J24" s="679">
        <f>+B24+F24</f>
        <v>762140</v>
      </c>
      <c r="K24" s="681">
        <f t="shared" ref="K24" si="22">+C24+G24</f>
        <v>1157157</v>
      </c>
      <c r="L24" s="681">
        <f t="shared" ref="L24" si="23">+D24+H24</f>
        <v>776336</v>
      </c>
      <c r="M24" s="694">
        <f>+E24+I24</f>
        <v>2695633</v>
      </c>
      <c r="N24" s="679"/>
      <c r="O24" s="680"/>
    </row>
    <row r="25" spans="1:15" ht="15.6" x14ac:dyDescent="0.3">
      <c r="A25" s="682" t="s">
        <v>27</v>
      </c>
      <c r="B25" s="683">
        <f>+Uni_Lima_Cdes16!B33</f>
        <v>287601</v>
      </c>
      <c r="C25" s="683">
        <f>+Uni_Lima_Cdes16!C33</f>
        <v>410076</v>
      </c>
      <c r="D25" s="683">
        <f>+Uni_Lima_Cdes16!D33</f>
        <v>249694</v>
      </c>
      <c r="E25" s="684">
        <f t="shared" si="8"/>
        <v>947371</v>
      </c>
      <c r="F25" s="683"/>
      <c r="G25" s="683"/>
      <c r="H25" s="683"/>
      <c r="I25" s="680"/>
      <c r="J25" s="679"/>
      <c r="K25" s="681"/>
      <c r="L25" s="681"/>
      <c r="M25" s="694"/>
      <c r="N25" s="683"/>
      <c r="O25" s="684"/>
    </row>
    <row r="26" spans="1:15" ht="15.6" x14ac:dyDescent="0.3">
      <c r="A26" s="682" t="s">
        <v>28</v>
      </c>
      <c r="B26" s="683">
        <f>+Uni_Lima_Cdes16!B34</f>
        <v>332263</v>
      </c>
      <c r="C26" s="683">
        <f>+Uni_Lima_Cdes16!C34</f>
        <v>466568</v>
      </c>
      <c r="D26" s="683">
        <f>+Uni_Lima_Cdes16!D34</f>
        <v>271267</v>
      </c>
      <c r="E26" s="684">
        <f t="shared" si="8"/>
        <v>1070098</v>
      </c>
      <c r="F26" s="683"/>
      <c r="G26" s="683"/>
      <c r="H26" s="683"/>
      <c r="I26" s="680"/>
      <c r="J26" s="679"/>
      <c r="K26" s="681"/>
      <c r="L26" s="681"/>
      <c r="M26" s="694"/>
      <c r="N26" s="683"/>
      <c r="O26" s="684"/>
    </row>
    <row r="27" spans="1:15" ht="15.6" x14ac:dyDescent="0.3">
      <c r="A27" s="678" t="s">
        <v>29</v>
      </c>
      <c r="B27" s="679">
        <f>+B3</f>
        <v>594747</v>
      </c>
      <c r="C27" s="679">
        <f t="shared" ref="C27:D27" si="24">+C3</f>
        <v>1055953</v>
      </c>
      <c r="D27" s="679">
        <f t="shared" si="24"/>
        <v>904854</v>
      </c>
      <c r="E27" s="680">
        <f>SUM(B27:D27)</f>
        <v>2555554</v>
      </c>
      <c r="F27" s="679">
        <f>+F3</f>
        <v>146620</v>
      </c>
      <c r="G27" s="679">
        <f t="shared" ref="G27:H27" si="25">+G3</f>
        <v>322956</v>
      </c>
      <c r="H27" s="679">
        <f t="shared" si="25"/>
        <v>404320</v>
      </c>
      <c r="I27" s="680">
        <f>+F27+G27+H27</f>
        <v>873896</v>
      </c>
      <c r="J27" s="679">
        <f>+B27+F27</f>
        <v>741367</v>
      </c>
      <c r="K27" s="681">
        <f t="shared" ref="K27:M28" si="26">+C27+G27</f>
        <v>1378909</v>
      </c>
      <c r="L27" s="681">
        <f t="shared" si="26"/>
        <v>1309174</v>
      </c>
      <c r="M27" s="694">
        <f t="shared" si="26"/>
        <v>3429450</v>
      </c>
      <c r="N27" s="679">
        <f>+N3</f>
        <v>444303</v>
      </c>
      <c r="O27" s="688">
        <f>+O3</f>
        <v>429593</v>
      </c>
    </row>
    <row r="28" spans="1:15" ht="15.6" x14ac:dyDescent="0.3">
      <c r="A28" s="678" t="s">
        <v>30</v>
      </c>
      <c r="B28" s="679">
        <f>+B3</f>
        <v>594747</v>
      </c>
      <c r="C28" s="679">
        <f t="shared" ref="C28:D28" si="27">+C3</f>
        <v>1055953</v>
      </c>
      <c r="D28" s="679">
        <f t="shared" si="27"/>
        <v>904854</v>
      </c>
      <c r="E28" s="680">
        <f>SUM(B28:D28)</f>
        <v>2555554</v>
      </c>
      <c r="F28" s="679">
        <f>+F27</f>
        <v>146620</v>
      </c>
      <c r="G28" s="679">
        <f t="shared" ref="G28:H28" si="28">+G27</f>
        <v>322956</v>
      </c>
      <c r="H28" s="679">
        <f t="shared" si="28"/>
        <v>404320</v>
      </c>
      <c r="I28" s="680">
        <f>+F28+G28+H28</f>
        <v>873896</v>
      </c>
      <c r="J28" s="679">
        <f>+B28+F28</f>
        <v>741367</v>
      </c>
      <c r="K28" s="681">
        <f t="shared" si="26"/>
        <v>1378909</v>
      </c>
      <c r="L28" s="681">
        <f t="shared" si="26"/>
        <v>1309174</v>
      </c>
      <c r="M28" s="694">
        <f t="shared" si="26"/>
        <v>3429450</v>
      </c>
      <c r="N28" s="679">
        <f>+N27</f>
        <v>444303</v>
      </c>
      <c r="O28" s="688">
        <f>+O27</f>
        <v>429593</v>
      </c>
    </row>
    <row r="29" spans="1:15" ht="16.2" thickBot="1" x14ac:dyDescent="0.35">
      <c r="A29" s="108"/>
      <c r="B29" s="340"/>
      <c r="C29" s="328"/>
      <c r="D29" s="328"/>
      <c r="E29" s="341"/>
      <c r="F29" s="340"/>
      <c r="G29" s="328"/>
      <c r="H29" s="328"/>
      <c r="I29" s="341"/>
      <c r="J29" s="340"/>
      <c r="K29" s="328"/>
      <c r="L29" s="328"/>
      <c r="M29" s="341"/>
      <c r="N29" s="411"/>
      <c r="O29" s="412"/>
    </row>
    <row r="30" spans="1:15" ht="16.2" thickBot="1" x14ac:dyDescent="0.35">
      <c r="A30" s="669" t="s">
        <v>31</v>
      </c>
      <c r="B30" s="664">
        <f>+B17+B20+B23+B26</f>
        <v>907247</v>
      </c>
      <c r="C30" s="664">
        <f t="shared" ref="C30:D30" si="29">+C17+C20+C23+C26</f>
        <v>1607770</v>
      </c>
      <c r="D30" s="664">
        <f t="shared" si="29"/>
        <v>1155755</v>
      </c>
      <c r="E30" s="665">
        <f>SUM(B30:D30)</f>
        <v>3670772</v>
      </c>
      <c r="F30" s="664">
        <f>+Uni_Lima_Cdes16!L37</f>
        <v>227083</v>
      </c>
      <c r="G30" s="664">
        <f>+Uni_Lima_Cdes16!M37</f>
        <v>507907</v>
      </c>
      <c r="H30" s="664">
        <f>+Uni_Lima_Cdes16!N37</f>
        <v>558692</v>
      </c>
      <c r="I30" s="665">
        <f>SUM(F30:H30)</f>
        <v>1293682</v>
      </c>
      <c r="J30" s="664">
        <f>+B30+F30</f>
        <v>1134330</v>
      </c>
      <c r="K30" s="666">
        <f t="shared" ref="K30:M32" si="30">+C30+G30</f>
        <v>2115677</v>
      </c>
      <c r="L30" s="666">
        <f t="shared" si="30"/>
        <v>1714447</v>
      </c>
      <c r="M30" s="693">
        <f t="shared" si="30"/>
        <v>4964454</v>
      </c>
      <c r="N30" s="664"/>
      <c r="O30" s="665"/>
    </row>
    <row r="31" spans="1:15" ht="16.2" thickBot="1" x14ac:dyDescent="0.35">
      <c r="A31" s="669" t="s">
        <v>32</v>
      </c>
      <c r="B31" s="664">
        <f>+B16+B19+B22+B25</f>
        <v>810980</v>
      </c>
      <c r="C31" s="664">
        <f t="shared" ref="C31:D31" si="31">+C16+C19+C22+C25</f>
        <v>1461015.302455731</v>
      </c>
      <c r="D31" s="664">
        <f t="shared" si="31"/>
        <v>1113810</v>
      </c>
      <c r="E31" s="665">
        <f t="shared" ref="E31:E32" si="32">SUM(B31:D31)</f>
        <v>3385805.3024557307</v>
      </c>
      <c r="F31" s="664">
        <f>+Uni_Lima_Cdes16!L36</f>
        <v>206360</v>
      </c>
      <c r="G31" s="664">
        <f>+Uni_Lima_Cdes16!M36</f>
        <v>433835</v>
      </c>
      <c r="H31" s="664">
        <f>+Uni_Lima_Cdes16!N36</f>
        <v>492461</v>
      </c>
      <c r="I31" s="665">
        <f t="shared" ref="I31:I32" si="33">SUM(F31:H31)</f>
        <v>1132656</v>
      </c>
      <c r="J31" s="664">
        <f>+B31+F31</f>
        <v>1017340</v>
      </c>
      <c r="K31" s="666">
        <f t="shared" si="30"/>
        <v>1894850.302455731</v>
      </c>
      <c r="L31" s="666">
        <f t="shared" si="30"/>
        <v>1606271</v>
      </c>
      <c r="M31" s="693">
        <f t="shared" si="30"/>
        <v>4518461.3024557307</v>
      </c>
      <c r="N31" s="664"/>
      <c r="O31" s="665"/>
    </row>
    <row r="32" spans="1:15" ht="16.2" thickBot="1" x14ac:dyDescent="0.35">
      <c r="A32" s="669" t="s">
        <v>33</v>
      </c>
      <c r="B32" s="670">
        <f>+B30+B31</f>
        <v>1718227</v>
      </c>
      <c r="C32" s="670">
        <f t="shared" ref="C32:D32" si="34">+C30+C31</f>
        <v>3068785.3024557307</v>
      </c>
      <c r="D32" s="670">
        <f t="shared" si="34"/>
        <v>2269565</v>
      </c>
      <c r="E32" s="671">
        <f t="shared" si="32"/>
        <v>7056577.3024557307</v>
      </c>
      <c r="F32" s="670">
        <f>+F30+F31</f>
        <v>433443</v>
      </c>
      <c r="G32" s="670">
        <f t="shared" ref="G32:H32" si="35">+G30+G31</f>
        <v>941742</v>
      </c>
      <c r="H32" s="670">
        <f t="shared" si="35"/>
        <v>1051153</v>
      </c>
      <c r="I32" s="671">
        <f t="shared" si="33"/>
        <v>2426338</v>
      </c>
      <c r="J32" s="670">
        <f>+B32+F32</f>
        <v>2151670</v>
      </c>
      <c r="K32" s="695">
        <f t="shared" si="30"/>
        <v>4010527.3024557307</v>
      </c>
      <c r="L32" s="695">
        <f t="shared" si="30"/>
        <v>3320718</v>
      </c>
      <c r="M32" s="696">
        <f t="shared" si="30"/>
        <v>9482915.3024557307</v>
      </c>
      <c r="N32" s="670"/>
      <c r="O32" s="671"/>
    </row>
    <row r="33" spans="1:9" ht="15.6" x14ac:dyDescent="0.3">
      <c r="E33" s="867"/>
    </row>
    <row r="34" spans="1:9" x14ac:dyDescent="0.3">
      <c r="H34" s="38"/>
      <c r="I34" s="876"/>
    </row>
    <row r="35" spans="1:9" x14ac:dyDescent="0.3">
      <c r="A35">
        <v>2015</v>
      </c>
      <c r="B35" s="876">
        <f>+'2015'!B3/'2015'!$E$3</f>
        <v>0.23793630786578743</v>
      </c>
      <c r="C35" s="876">
        <f>+'2015'!C3/'2015'!$E$3</f>
        <v>0.38350308461437299</v>
      </c>
      <c r="D35" s="876">
        <f>+'2015'!D3/'2015'!$E$3</f>
        <v>0.37856060751983966</v>
      </c>
    </row>
    <row r="36" spans="1:9" x14ac:dyDescent="0.3">
      <c r="A36">
        <v>2016</v>
      </c>
      <c r="B36" s="876">
        <f>+B3/$E$3</f>
        <v>0.23272722861657394</v>
      </c>
      <c r="C36" s="876">
        <f t="shared" ref="C36:D36" si="36">+C3/$E$3</f>
        <v>0.41319925151258785</v>
      </c>
      <c r="D36" s="876">
        <f t="shared" si="36"/>
        <v>0.35407351987083818</v>
      </c>
    </row>
    <row r="37" spans="1:9" x14ac:dyDescent="0.3">
      <c r="A37">
        <v>2017</v>
      </c>
      <c r="B37" s="876" t="e">
        <f>+#REF!/#REF!</f>
        <v>#REF!</v>
      </c>
      <c r="C37" s="876" t="e">
        <f>+#REF!/#REF!</f>
        <v>#REF!</v>
      </c>
      <c r="D37" s="876" t="e">
        <f>+#REF!/#REF!</f>
        <v>#REF!</v>
      </c>
    </row>
    <row r="39" spans="1:9" x14ac:dyDescent="0.3">
      <c r="E39">
        <v>7140942</v>
      </c>
      <c r="F39" s="772">
        <f>+(E39-E32)/E32</f>
        <v>1.1955469901096364E-2</v>
      </c>
    </row>
    <row r="42" spans="1:9" x14ac:dyDescent="0.3">
      <c r="D42" s="38" t="e">
        <f>+#REF!-'2016'!E5</f>
        <v>#REF!</v>
      </c>
    </row>
    <row r="43" spans="1:9" x14ac:dyDescent="0.3">
      <c r="D43" s="38" t="e">
        <f>+#REF!-#REF!</f>
        <v>#REF!</v>
      </c>
    </row>
  </sheetData>
  <mergeCells count="3">
    <mergeCell ref="B1:E1"/>
    <mergeCell ref="F1:I1"/>
    <mergeCell ref="J1:M1"/>
  </mergeCells>
  <pageMargins left="0.7" right="0.7" top="0.75" bottom="0.75" header="0.3" footer="0.3"/>
  <pageSetup scale="7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CD2E4-6B11-44EA-9CFF-C9124508A471}">
  <dimension ref="A1:O44"/>
  <sheetViews>
    <sheetView tabSelected="1" zoomScale="70" zoomScaleNormal="70" workbookViewId="0">
      <pane xSplit="1" ySplit="1" topLeftCell="B2" activePane="bottomRight" state="frozen"/>
      <selection pane="topRight" activeCell="B1" sqref="B1"/>
      <selection pane="bottomLeft" activeCell="A4" sqref="A4"/>
      <selection pane="bottomRight" activeCell="U16" sqref="U16"/>
    </sheetView>
  </sheetViews>
  <sheetFormatPr baseColWidth="10" defaultRowHeight="14.4" x14ac:dyDescent="0.3"/>
  <cols>
    <col min="1" max="1" width="30.33203125" customWidth="1"/>
    <col min="2" max="2" width="12.88671875" bestFit="1" customWidth="1"/>
    <col min="3" max="4" width="11.21875" bestFit="1" customWidth="1"/>
    <col min="5" max="5" width="11.6640625" bestFit="1" customWidth="1"/>
    <col min="13" max="13" width="14.6640625" customWidth="1"/>
  </cols>
  <sheetData>
    <row r="1" spans="1:15" ht="15" thickBot="1" x14ac:dyDescent="0.35">
      <c r="B1" s="972"/>
      <c r="C1" s="972"/>
      <c r="D1" s="972"/>
      <c r="E1" s="972"/>
      <c r="F1" s="972"/>
      <c r="G1" s="972"/>
      <c r="H1" s="972"/>
      <c r="I1" s="972"/>
      <c r="J1" s="972"/>
      <c r="K1" s="972"/>
      <c r="L1" s="972"/>
      <c r="M1" s="972"/>
    </row>
    <row r="2" spans="1:15" ht="27" customHeight="1" thickBot="1" x14ac:dyDescent="0.4">
      <c r="A2" s="944"/>
      <c r="B2" s="1232" t="s">
        <v>0</v>
      </c>
      <c r="C2" s="1233"/>
      <c r="D2" s="1233"/>
      <c r="E2" s="1234"/>
      <c r="F2" s="1235" t="s">
        <v>1</v>
      </c>
      <c r="G2" s="1236"/>
      <c r="H2" s="1236"/>
      <c r="I2" s="1237"/>
      <c r="J2" s="1238" t="s">
        <v>2</v>
      </c>
      <c r="K2" s="1239"/>
      <c r="L2" s="1239"/>
      <c r="M2" s="1240"/>
      <c r="N2" s="1241" t="s">
        <v>3</v>
      </c>
      <c r="O2" s="1242" t="s">
        <v>4</v>
      </c>
    </row>
    <row r="3" spans="1:15" ht="18" thickBot="1" x14ac:dyDescent="0.4">
      <c r="A3" s="944"/>
      <c r="B3" s="1243" t="s">
        <v>5</v>
      </c>
      <c r="C3" s="1244" t="s">
        <v>6</v>
      </c>
      <c r="D3" s="1244" t="s">
        <v>7</v>
      </c>
      <c r="E3" s="1245" t="s">
        <v>8</v>
      </c>
      <c r="F3" s="1246" t="s">
        <v>5</v>
      </c>
      <c r="G3" s="1244" t="s">
        <v>6</v>
      </c>
      <c r="H3" s="1244" t="s">
        <v>7</v>
      </c>
      <c r="I3" s="1245" t="s">
        <v>8</v>
      </c>
      <c r="J3" s="1243" t="s">
        <v>5</v>
      </c>
      <c r="K3" s="1244" t="s">
        <v>6</v>
      </c>
      <c r="L3" s="1244" t="s">
        <v>7</v>
      </c>
      <c r="M3" s="1247" t="s">
        <v>8</v>
      </c>
      <c r="N3" s="1243" t="s">
        <v>8</v>
      </c>
      <c r="O3" s="1245" t="s">
        <v>8</v>
      </c>
    </row>
    <row r="4" spans="1:15" ht="15.6" x14ac:dyDescent="0.3">
      <c r="A4" s="1248" t="s">
        <v>132</v>
      </c>
      <c r="B4" s="1249">
        <v>626507</v>
      </c>
      <c r="C4" s="1250">
        <v>1436977</v>
      </c>
      <c r="D4" s="1250">
        <v>1010075</v>
      </c>
      <c r="E4" s="1251">
        <v>3073559</v>
      </c>
      <c r="F4" s="1249">
        <v>176707</v>
      </c>
      <c r="G4" s="1250">
        <v>475570</v>
      </c>
      <c r="H4" s="1250">
        <v>481585</v>
      </c>
      <c r="I4" s="1251">
        <v>1133862</v>
      </c>
      <c r="J4" s="1249">
        <f>+B4+F4</f>
        <v>803214</v>
      </c>
      <c r="K4" s="1250">
        <f t="shared" ref="K4:M19" si="0">+C4+G4</f>
        <v>1912547</v>
      </c>
      <c r="L4" s="1250">
        <f t="shared" si="0"/>
        <v>1491660</v>
      </c>
      <c r="M4" s="1251">
        <f t="shared" si="0"/>
        <v>4207421</v>
      </c>
      <c r="N4" s="1249">
        <v>552500</v>
      </c>
      <c r="O4" s="1252">
        <v>581362</v>
      </c>
    </row>
    <row r="5" spans="1:15" ht="16.2" thickBot="1" x14ac:dyDescent="0.35">
      <c r="A5" s="1253" t="s">
        <v>10</v>
      </c>
      <c r="B5" s="1254">
        <f>+E5-C5-D5</f>
        <v>541695</v>
      </c>
      <c r="C5" s="1255">
        <v>902149</v>
      </c>
      <c r="D5" s="1255">
        <v>285590</v>
      </c>
      <c r="E5" s="1256">
        <v>1729434</v>
      </c>
      <c r="F5" s="1254">
        <v>155535</v>
      </c>
      <c r="G5" s="1255">
        <v>222694</v>
      </c>
      <c r="H5" s="1255">
        <v>43814</v>
      </c>
      <c r="I5" s="1256">
        <v>422043</v>
      </c>
      <c r="J5" s="1254">
        <v>697230</v>
      </c>
      <c r="K5" s="1255">
        <f t="shared" si="0"/>
        <v>1124843</v>
      </c>
      <c r="L5" s="1255">
        <f t="shared" si="0"/>
        <v>329404</v>
      </c>
      <c r="M5" s="1256">
        <f t="shared" si="0"/>
        <v>2151477</v>
      </c>
      <c r="N5" s="1254"/>
      <c r="O5" s="1256"/>
    </row>
    <row r="6" spans="1:15" ht="15.6" x14ac:dyDescent="0.3">
      <c r="A6" s="941" t="s">
        <v>35</v>
      </c>
      <c r="B6" s="945">
        <v>2405671</v>
      </c>
      <c r="C6" s="946">
        <v>5261603</v>
      </c>
      <c r="D6" s="946">
        <v>3203660</v>
      </c>
      <c r="E6" s="947">
        <v>10870934</v>
      </c>
      <c r="F6" s="948">
        <v>629905</v>
      </c>
      <c r="G6" s="949">
        <v>1699445</v>
      </c>
      <c r="H6" s="949">
        <v>1685947</v>
      </c>
      <c r="I6" s="950">
        <v>4015297</v>
      </c>
      <c r="J6" s="945">
        <f t="shared" ref="J6:L22" si="1">+B6+F6</f>
        <v>3035576</v>
      </c>
      <c r="K6" s="946">
        <f t="shared" si="0"/>
        <v>6961048</v>
      </c>
      <c r="L6" s="946">
        <f t="shared" si="0"/>
        <v>4889607</v>
      </c>
      <c r="M6" s="947">
        <f t="shared" si="0"/>
        <v>14886231</v>
      </c>
      <c r="N6" s="951">
        <v>2073134</v>
      </c>
      <c r="O6" s="952">
        <v>1942163</v>
      </c>
    </row>
    <row r="7" spans="1:15" ht="15.6" x14ac:dyDescent="0.3">
      <c r="A7" s="942" t="s">
        <v>148</v>
      </c>
      <c r="B7" s="953">
        <v>2121078</v>
      </c>
      <c r="C7" s="954">
        <v>3430992</v>
      </c>
      <c r="D7" s="954">
        <v>973242</v>
      </c>
      <c r="E7" s="955">
        <v>6525312</v>
      </c>
      <c r="F7" s="956">
        <v>553614</v>
      </c>
      <c r="G7" s="957">
        <v>793941</v>
      </c>
      <c r="H7" s="957">
        <v>160295</v>
      </c>
      <c r="I7" s="958">
        <v>1507850</v>
      </c>
      <c r="J7" s="953">
        <f t="shared" si="1"/>
        <v>2674692</v>
      </c>
      <c r="K7" s="954">
        <f t="shared" si="0"/>
        <v>4224933</v>
      </c>
      <c r="L7" s="954">
        <f t="shared" si="0"/>
        <v>1133537</v>
      </c>
      <c r="M7" s="955">
        <f t="shared" si="0"/>
        <v>8033162</v>
      </c>
      <c r="N7" s="959"/>
      <c r="O7" s="960"/>
    </row>
    <row r="8" spans="1:15" ht="15.6" x14ac:dyDescent="0.3">
      <c r="A8" s="942" t="s">
        <v>144</v>
      </c>
      <c r="B8" s="953">
        <v>1258695</v>
      </c>
      <c r="C8" s="954">
        <v>2704782</v>
      </c>
      <c r="D8" s="954">
        <v>1636116</v>
      </c>
      <c r="E8" s="955">
        <v>5599593</v>
      </c>
      <c r="F8" s="956">
        <v>329153</v>
      </c>
      <c r="G8" s="957">
        <v>887957</v>
      </c>
      <c r="H8" s="957">
        <v>881247</v>
      </c>
      <c r="I8" s="958">
        <v>2098357</v>
      </c>
      <c r="J8" s="953">
        <f t="shared" si="1"/>
        <v>1587848</v>
      </c>
      <c r="K8" s="954">
        <f t="shared" si="0"/>
        <v>3592739</v>
      </c>
      <c r="L8" s="954">
        <f t="shared" si="0"/>
        <v>2517363</v>
      </c>
      <c r="M8" s="955">
        <f t="shared" si="0"/>
        <v>7697950</v>
      </c>
      <c r="N8" s="953">
        <v>1084385</v>
      </c>
      <c r="O8" s="961">
        <v>1013972</v>
      </c>
    </row>
    <row r="9" spans="1:15" ht="16.2" thickBot="1" x14ac:dyDescent="0.35">
      <c r="A9" s="943" t="s">
        <v>145</v>
      </c>
      <c r="B9" s="962">
        <v>1146976</v>
      </c>
      <c r="C9" s="963">
        <v>2556821</v>
      </c>
      <c r="D9" s="963">
        <v>1567544</v>
      </c>
      <c r="E9" s="964">
        <v>5271341</v>
      </c>
      <c r="F9" s="965">
        <v>300752</v>
      </c>
      <c r="G9" s="966">
        <v>811488</v>
      </c>
      <c r="H9" s="966">
        <v>804700</v>
      </c>
      <c r="I9" s="967">
        <v>1916940</v>
      </c>
      <c r="J9" s="962">
        <f t="shared" si="1"/>
        <v>1447728</v>
      </c>
      <c r="K9" s="963">
        <f t="shared" si="0"/>
        <v>3368309</v>
      </c>
      <c r="L9" s="963">
        <f t="shared" si="0"/>
        <v>2372244</v>
      </c>
      <c r="M9" s="964">
        <f t="shared" si="0"/>
        <v>7188281</v>
      </c>
      <c r="N9" s="962">
        <v>988749</v>
      </c>
      <c r="O9" s="968">
        <v>928191</v>
      </c>
    </row>
    <row r="10" spans="1:15" ht="15.6" x14ac:dyDescent="0.3">
      <c r="A10" s="1258" t="s">
        <v>34</v>
      </c>
      <c r="B10" s="1259">
        <v>274929</v>
      </c>
      <c r="C10" s="1260">
        <v>673183</v>
      </c>
      <c r="D10" s="1260">
        <v>428272</v>
      </c>
      <c r="E10" s="1261">
        <v>1376384</v>
      </c>
      <c r="F10" s="1262">
        <v>85871</v>
      </c>
      <c r="G10" s="1263">
        <v>234511</v>
      </c>
      <c r="H10" s="1263">
        <v>234520</v>
      </c>
      <c r="I10" s="1264">
        <v>554902</v>
      </c>
      <c r="J10" s="1262">
        <f t="shared" si="1"/>
        <v>360800</v>
      </c>
      <c r="K10" s="1263">
        <f t="shared" si="0"/>
        <v>907694</v>
      </c>
      <c r="L10" s="1263">
        <f t="shared" si="0"/>
        <v>662792</v>
      </c>
      <c r="M10" s="1264">
        <f t="shared" si="0"/>
        <v>1931286</v>
      </c>
      <c r="N10" s="1259"/>
      <c r="O10" s="1261"/>
    </row>
    <row r="11" spans="1:15" ht="15.6" x14ac:dyDescent="0.3">
      <c r="A11" s="1265" t="s">
        <v>36</v>
      </c>
      <c r="B11" s="1266">
        <v>139523</v>
      </c>
      <c r="C11" s="1267">
        <v>342396</v>
      </c>
      <c r="D11" s="1267">
        <v>217943</v>
      </c>
      <c r="E11" s="1268">
        <v>699862</v>
      </c>
      <c r="F11" s="1269"/>
      <c r="G11" s="1270"/>
      <c r="H11" s="1270"/>
      <c r="I11" s="1271">
        <v>282085</v>
      </c>
      <c r="J11" s="1269"/>
      <c r="K11" s="1270"/>
      <c r="L11" s="1270"/>
      <c r="M11" s="1271">
        <f t="shared" si="0"/>
        <v>981947</v>
      </c>
      <c r="N11" s="1266"/>
      <c r="O11" s="1268"/>
    </row>
    <row r="12" spans="1:15" ht="15.6" x14ac:dyDescent="0.3">
      <c r="A12" s="1265" t="s">
        <v>37</v>
      </c>
      <c r="B12" s="1266">
        <v>135406</v>
      </c>
      <c r="C12" s="1267">
        <v>330787</v>
      </c>
      <c r="D12" s="1267">
        <v>210329</v>
      </c>
      <c r="E12" s="1268">
        <v>676522</v>
      </c>
      <c r="F12" s="1269"/>
      <c r="G12" s="1270"/>
      <c r="H12" s="1270"/>
      <c r="I12" s="1271">
        <v>272817</v>
      </c>
      <c r="J12" s="1269"/>
      <c r="K12" s="1270"/>
      <c r="L12" s="1270"/>
      <c r="M12" s="1271">
        <f t="shared" si="0"/>
        <v>949339</v>
      </c>
      <c r="N12" s="1266"/>
      <c r="O12" s="1268"/>
    </row>
    <row r="13" spans="1:15" ht="15.6" x14ac:dyDescent="0.3">
      <c r="A13" s="1257" t="s">
        <v>14</v>
      </c>
      <c r="B13" s="1272">
        <v>243641</v>
      </c>
      <c r="C13" s="1273">
        <v>578478</v>
      </c>
      <c r="D13" s="1273">
        <v>363137</v>
      </c>
      <c r="E13" s="1274">
        <v>1185256</v>
      </c>
      <c r="F13" s="1275">
        <v>72942</v>
      </c>
      <c r="G13" s="1276">
        <v>199053</v>
      </c>
      <c r="H13" s="1276">
        <v>198491</v>
      </c>
      <c r="I13" s="1271">
        <v>470486</v>
      </c>
      <c r="J13" s="1275">
        <f t="shared" ref="J13:L13" si="2">+B13+F13</f>
        <v>316583</v>
      </c>
      <c r="K13" s="1276">
        <f t="shared" si="2"/>
        <v>777531</v>
      </c>
      <c r="L13" s="1276">
        <f t="shared" si="2"/>
        <v>561628</v>
      </c>
      <c r="M13" s="1271">
        <f t="shared" si="0"/>
        <v>1655742</v>
      </c>
      <c r="N13" s="1272"/>
      <c r="O13" s="1274"/>
    </row>
    <row r="14" spans="1:15" ht="15.6" x14ac:dyDescent="0.3">
      <c r="A14" s="1265" t="s">
        <v>15</v>
      </c>
      <c r="B14" s="1266">
        <v>122835</v>
      </c>
      <c r="C14" s="1267">
        <v>292020</v>
      </c>
      <c r="D14" s="1267">
        <v>183417</v>
      </c>
      <c r="E14" s="1268">
        <v>598272</v>
      </c>
      <c r="F14" s="1269"/>
      <c r="G14" s="1270"/>
      <c r="H14" s="1270"/>
      <c r="I14" s="1271">
        <v>236286</v>
      </c>
      <c r="J14" s="1269"/>
      <c r="K14" s="1270"/>
      <c r="L14" s="1270"/>
      <c r="M14" s="1271">
        <f t="shared" si="0"/>
        <v>834558</v>
      </c>
      <c r="N14" s="1266"/>
      <c r="O14" s="1268"/>
    </row>
    <row r="15" spans="1:15" ht="15.6" x14ac:dyDescent="0.3">
      <c r="A15" s="1265" t="s">
        <v>16</v>
      </c>
      <c r="B15" s="1266">
        <v>120806</v>
      </c>
      <c r="C15" s="1267">
        <v>286458</v>
      </c>
      <c r="D15" s="1267">
        <v>179720</v>
      </c>
      <c r="E15" s="1268">
        <v>586984</v>
      </c>
      <c r="F15" s="1269"/>
      <c r="G15" s="1270"/>
      <c r="H15" s="1270"/>
      <c r="I15" s="1271">
        <v>234200</v>
      </c>
      <c r="J15" s="1269"/>
      <c r="K15" s="1270"/>
      <c r="L15" s="1270"/>
      <c r="M15" s="1271">
        <f t="shared" si="0"/>
        <v>821184</v>
      </c>
      <c r="N15" s="1266"/>
      <c r="O15" s="1268"/>
    </row>
    <row r="16" spans="1:15" ht="15.6" x14ac:dyDescent="0.3">
      <c r="A16" s="1257" t="s">
        <v>17</v>
      </c>
      <c r="B16" s="1272">
        <v>338254</v>
      </c>
      <c r="C16" s="1273">
        <v>787708</v>
      </c>
      <c r="D16" s="1273">
        <v>490137</v>
      </c>
      <c r="E16" s="1274">
        <v>1616099</v>
      </c>
      <c r="F16" s="1275">
        <v>98920</v>
      </c>
      <c r="G16" s="1276">
        <v>267724</v>
      </c>
      <c r="H16" s="1276">
        <v>265010</v>
      </c>
      <c r="I16" s="1271">
        <v>631654</v>
      </c>
      <c r="J16" s="1275">
        <f t="shared" ref="J16:L16" si="3">+B16+F16</f>
        <v>437174</v>
      </c>
      <c r="K16" s="1276">
        <f t="shared" si="3"/>
        <v>1055432</v>
      </c>
      <c r="L16" s="1276">
        <f t="shared" si="3"/>
        <v>755147</v>
      </c>
      <c r="M16" s="1271">
        <f t="shared" si="0"/>
        <v>2247753</v>
      </c>
      <c r="N16" s="1272"/>
      <c r="O16" s="1274"/>
    </row>
    <row r="17" spans="1:15" ht="15.6" x14ac:dyDescent="0.3">
      <c r="A17" s="1265" t="s">
        <v>18</v>
      </c>
      <c r="B17" s="1266">
        <v>166321</v>
      </c>
      <c r="C17" s="1267">
        <v>390457</v>
      </c>
      <c r="D17" s="1267">
        <v>243525</v>
      </c>
      <c r="E17" s="1268">
        <v>800303</v>
      </c>
      <c r="F17" s="1269"/>
      <c r="G17" s="1270"/>
      <c r="H17" s="1270"/>
      <c r="I17" s="1271">
        <v>307410</v>
      </c>
      <c r="J17" s="1269"/>
      <c r="K17" s="1270"/>
      <c r="L17" s="1270"/>
      <c r="M17" s="1271">
        <f t="shared" si="0"/>
        <v>1107713</v>
      </c>
      <c r="N17" s="1266"/>
      <c r="O17" s="1268"/>
    </row>
    <row r="18" spans="1:15" ht="15.6" x14ac:dyDescent="0.3">
      <c r="A18" s="1265" t="s">
        <v>19</v>
      </c>
      <c r="B18" s="1266">
        <v>171933</v>
      </c>
      <c r="C18" s="1267">
        <v>397251</v>
      </c>
      <c r="D18" s="1267">
        <v>246612</v>
      </c>
      <c r="E18" s="1268">
        <v>815796</v>
      </c>
      <c r="F18" s="1269"/>
      <c r="G18" s="1270"/>
      <c r="H18" s="1270"/>
      <c r="I18" s="1271">
        <v>324244</v>
      </c>
      <c r="J18" s="1269"/>
      <c r="K18" s="1270"/>
      <c r="L18" s="1270"/>
      <c r="M18" s="1271">
        <f t="shared" si="0"/>
        <v>1140040</v>
      </c>
      <c r="N18" s="1266"/>
      <c r="O18" s="1268"/>
    </row>
    <row r="19" spans="1:15" ht="15.6" x14ac:dyDescent="0.3">
      <c r="A19" s="1257" t="s">
        <v>20</v>
      </c>
      <c r="B19" s="1272">
        <v>482475</v>
      </c>
      <c r="C19" s="1273">
        <v>1094793</v>
      </c>
      <c r="D19" s="1273">
        <v>678887</v>
      </c>
      <c r="E19" s="1274">
        <v>2256155</v>
      </c>
      <c r="F19" s="1275">
        <v>125618</v>
      </c>
      <c r="G19" s="1276">
        <v>338385</v>
      </c>
      <c r="H19" s="1276">
        <v>333286</v>
      </c>
      <c r="I19" s="1271">
        <v>797289</v>
      </c>
      <c r="J19" s="1275">
        <f t="shared" ref="J19:L19" si="4">+B19+F19</f>
        <v>608093</v>
      </c>
      <c r="K19" s="1276">
        <f t="shared" si="4"/>
        <v>1433178</v>
      </c>
      <c r="L19" s="1276">
        <f t="shared" si="4"/>
        <v>1012173</v>
      </c>
      <c r="M19" s="1271">
        <f t="shared" si="0"/>
        <v>3053444</v>
      </c>
      <c r="N19" s="1272"/>
      <c r="O19" s="1274"/>
    </row>
    <row r="20" spans="1:15" ht="15.6" x14ac:dyDescent="0.3">
      <c r="A20" s="1265" t="s">
        <v>21</v>
      </c>
      <c r="B20" s="1266">
        <v>230411</v>
      </c>
      <c r="C20" s="1267">
        <v>530868</v>
      </c>
      <c r="D20" s="1267">
        <v>331214</v>
      </c>
      <c r="E20" s="1268">
        <v>1092493</v>
      </c>
      <c r="F20" s="1269"/>
      <c r="G20" s="1270"/>
      <c r="H20" s="1270"/>
      <c r="I20" s="1271">
        <v>375656</v>
      </c>
      <c r="J20" s="1269"/>
      <c r="K20" s="1270"/>
      <c r="L20" s="1270"/>
      <c r="M20" s="1271">
        <f t="shared" ref="M20:M28" si="5">+E20+I20</f>
        <v>1468149</v>
      </c>
      <c r="N20" s="1266"/>
      <c r="O20" s="1268"/>
    </row>
    <row r="21" spans="1:15" ht="15.6" x14ac:dyDescent="0.3">
      <c r="A21" s="1265" t="s">
        <v>22</v>
      </c>
      <c r="B21" s="1266">
        <v>252064</v>
      </c>
      <c r="C21" s="1267">
        <v>563925</v>
      </c>
      <c r="D21" s="1267">
        <v>347673</v>
      </c>
      <c r="E21" s="1268">
        <v>1163662</v>
      </c>
      <c r="F21" s="1269"/>
      <c r="G21" s="1270"/>
      <c r="H21" s="1270"/>
      <c r="I21" s="1271">
        <v>421633</v>
      </c>
      <c r="J21" s="1269"/>
      <c r="K21" s="1270"/>
      <c r="L21" s="1270"/>
      <c r="M21" s="1271">
        <f t="shared" si="5"/>
        <v>1585295</v>
      </c>
      <c r="N21" s="1266"/>
      <c r="O21" s="1268"/>
    </row>
    <row r="22" spans="1:15" ht="15.6" x14ac:dyDescent="0.3">
      <c r="A22" s="1257" t="s">
        <v>23</v>
      </c>
      <c r="B22" s="1272">
        <v>420128</v>
      </c>
      <c r="C22" s="1273">
        <v>899792</v>
      </c>
      <c r="D22" s="1273">
        <v>544503</v>
      </c>
      <c r="E22" s="1274">
        <v>1864423</v>
      </c>
      <c r="F22" s="1275">
        <v>102924</v>
      </c>
      <c r="G22" s="1276">
        <v>275556</v>
      </c>
      <c r="H22" s="1276">
        <v>272347</v>
      </c>
      <c r="I22" s="1271">
        <v>650827</v>
      </c>
      <c r="J22" s="1275">
        <f t="shared" si="1"/>
        <v>523052</v>
      </c>
      <c r="K22" s="1276">
        <f t="shared" si="1"/>
        <v>1175348</v>
      </c>
      <c r="L22" s="1276">
        <f t="shared" si="1"/>
        <v>816850</v>
      </c>
      <c r="M22" s="1271">
        <f t="shared" si="5"/>
        <v>2515250</v>
      </c>
      <c r="N22" s="1272"/>
      <c r="O22" s="1274"/>
    </row>
    <row r="23" spans="1:15" ht="15.6" x14ac:dyDescent="0.3">
      <c r="A23" s="1265" t="s">
        <v>24</v>
      </c>
      <c r="B23" s="1266">
        <v>197420</v>
      </c>
      <c r="C23" s="1267">
        <v>429659</v>
      </c>
      <c r="D23" s="1267">
        <v>261777</v>
      </c>
      <c r="E23" s="1268">
        <v>888856</v>
      </c>
      <c r="F23" s="1269"/>
      <c r="G23" s="1270"/>
      <c r="H23" s="1270"/>
      <c r="I23" s="1271">
        <v>300050</v>
      </c>
      <c r="J23" s="1269"/>
      <c r="K23" s="1270"/>
      <c r="L23" s="1270"/>
      <c r="M23" s="1271">
        <f t="shared" si="5"/>
        <v>1188906</v>
      </c>
      <c r="N23" s="1266"/>
      <c r="O23" s="1268"/>
    </row>
    <row r="24" spans="1:15" ht="15.6" x14ac:dyDescent="0.3">
      <c r="A24" s="1265" t="s">
        <v>25</v>
      </c>
      <c r="B24" s="1266">
        <v>222708</v>
      </c>
      <c r="C24" s="1267">
        <v>470133</v>
      </c>
      <c r="D24" s="1267">
        <v>282726</v>
      </c>
      <c r="E24" s="1268">
        <v>975567</v>
      </c>
      <c r="F24" s="1269"/>
      <c r="G24" s="1270"/>
      <c r="H24" s="1270"/>
      <c r="I24" s="1271">
        <v>350777</v>
      </c>
      <c r="J24" s="1269"/>
      <c r="K24" s="1270"/>
      <c r="L24" s="1270"/>
      <c r="M24" s="1271">
        <f t="shared" si="5"/>
        <v>1326344</v>
      </c>
      <c r="N24" s="1266"/>
      <c r="O24" s="1268"/>
    </row>
    <row r="25" spans="1:15" ht="15.6" x14ac:dyDescent="0.3">
      <c r="A25" s="1257" t="s">
        <v>26</v>
      </c>
      <c r="B25" s="1272">
        <v>646244</v>
      </c>
      <c r="C25" s="1273">
        <v>1227649</v>
      </c>
      <c r="D25" s="1273">
        <v>698724</v>
      </c>
      <c r="E25" s="1274">
        <v>2572617</v>
      </c>
      <c r="F25" s="1275">
        <v>143630</v>
      </c>
      <c r="G25" s="1276">
        <v>384216</v>
      </c>
      <c r="H25" s="1276">
        <v>382293</v>
      </c>
      <c r="I25" s="1271">
        <v>910139</v>
      </c>
      <c r="J25" s="1275">
        <f t="shared" ref="J25:L25" si="6">+B25+F25</f>
        <v>789874</v>
      </c>
      <c r="K25" s="1276">
        <f t="shared" si="6"/>
        <v>1611865</v>
      </c>
      <c r="L25" s="1276">
        <f t="shared" si="6"/>
        <v>1081017</v>
      </c>
      <c r="M25" s="1271">
        <f t="shared" si="5"/>
        <v>3482756</v>
      </c>
      <c r="N25" s="1272"/>
      <c r="O25" s="1274"/>
    </row>
    <row r="26" spans="1:15" ht="15.6" x14ac:dyDescent="0.3">
      <c r="A26" s="1265" t="s">
        <v>27</v>
      </c>
      <c r="B26" s="1266">
        <v>290466</v>
      </c>
      <c r="C26" s="1267">
        <v>571421</v>
      </c>
      <c r="D26" s="1267">
        <v>329668</v>
      </c>
      <c r="E26" s="1268">
        <v>1191555</v>
      </c>
      <c r="F26" s="1269"/>
      <c r="G26" s="1270"/>
      <c r="H26" s="1270"/>
      <c r="I26" s="1271">
        <v>415453</v>
      </c>
      <c r="J26" s="1269"/>
      <c r="K26" s="1270"/>
      <c r="L26" s="1270"/>
      <c r="M26" s="1271">
        <f t="shared" si="5"/>
        <v>1607008</v>
      </c>
      <c r="N26" s="1266"/>
      <c r="O26" s="1268"/>
    </row>
    <row r="27" spans="1:15" ht="15.6" x14ac:dyDescent="0.3">
      <c r="A27" s="1265" t="s">
        <v>28</v>
      </c>
      <c r="B27" s="1266">
        <v>355778</v>
      </c>
      <c r="C27" s="1267">
        <v>656228</v>
      </c>
      <c r="D27" s="1267">
        <v>369056</v>
      </c>
      <c r="E27" s="1268">
        <v>1381062</v>
      </c>
      <c r="F27" s="1269"/>
      <c r="G27" s="1270"/>
      <c r="H27" s="1270"/>
      <c r="I27" s="1271">
        <v>494686</v>
      </c>
      <c r="J27" s="1269"/>
      <c r="K27" s="1270"/>
      <c r="L27" s="1270"/>
      <c r="M27" s="1271">
        <f t="shared" si="5"/>
        <v>1875748</v>
      </c>
      <c r="N27" s="1266"/>
      <c r="O27" s="1268"/>
    </row>
    <row r="28" spans="1:15" ht="15.6" x14ac:dyDescent="0.3">
      <c r="A28" s="1257" t="s">
        <v>29</v>
      </c>
      <c r="B28" s="1275">
        <v>626507</v>
      </c>
      <c r="C28" s="1276">
        <v>1436977</v>
      </c>
      <c r="D28" s="1276">
        <v>1010075</v>
      </c>
      <c r="E28" s="1271">
        <v>3073559</v>
      </c>
      <c r="F28" s="1275">
        <v>176707</v>
      </c>
      <c r="G28" s="1276">
        <v>475570</v>
      </c>
      <c r="H28" s="1276">
        <v>481585</v>
      </c>
      <c r="I28" s="1271">
        <v>1133862</v>
      </c>
      <c r="J28" s="1275">
        <f t="shared" ref="J28:L28" si="7">+B28+F28</f>
        <v>803214</v>
      </c>
      <c r="K28" s="1276">
        <f t="shared" si="7"/>
        <v>1912547</v>
      </c>
      <c r="L28" s="1276">
        <f t="shared" si="7"/>
        <v>1491660</v>
      </c>
      <c r="M28" s="1271">
        <f t="shared" si="5"/>
        <v>4207421</v>
      </c>
      <c r="N28" s="1272">
        <v>552500</v>
      </c>
      <c r="O28" s="1274">
        <v>581362</v>
      </c>
    </row>
    <row r="29" spans="1:15" ht="16.2" thickBot="1" x14ac:dyDescent="0.35">
      <c r="A29" s="973"/>
      <c r="B29" s="974"/>
      <c r="C29" s="975"/>
      <c r="D29" s="975"/>
      <c r="E29" s="976"/>
      <c r="F29" s="977"/>
      <c r="G29" s="978"/>
      <c r="H29" s="978"/>
      <c r="I29" s="979"/>
      <c r="J29" s="974"/>
      <c r="K29" s="975"/>
      <c r="L29" s="975"/>
      <c r="M29" s="976"/>
      <c r="N29" s="980"/>
      <c r="O29" s="981"/>
    </row>
    <row r="30" spans="1:15" ht="16.2" thickBot="1" x14ac:dyDescent="0.35">
      <c r="A30" s="940"/>
      <c r="B30" s="969"/>
      <c r="C30" s="969"/>
      <c r="D30" s="969"/>
      <c r="E30" s="969"/>
      <c r="F30" s="969"/>
      <c r="G30" s="969"/>
      <c r="H30" s="969"/>
      <c r="I30" s="969"/>
      <c r="J30" s="969"/>
      <c r="K30" s="969"/>
      <c r="L30" s="969"/>
      <c r="M30" s="969"/>
      <c r="N30" s="970"/>
      <c r="O30" s="970"/>
    </row>
    <row r="31" spans="1:15" ht="15.6" x14ac:dyDescent="0.3">
      <c r="A31" s="1277" t="s">
        <v>31</v>
      </c>
      <c r="B31" s="1278">
        <v>1002483</v>
      </c>
      <c r="C31" s="1279">
        <v>2087537</v>
      </c>
      <c r="D31" s="1279">
        <v>1246067</v>
      </c>
      <c r="E31" s="1280">
        <v>4336087</v>
      </c>
      <c r="F31" s="1278">
        <v>250669</v>
      </c>
      <c r="G31" s="1279">
        <v>673562</v>
      </c>
      <c r="H31" s="1279">
        <v>667109</v>
      </c>
      <c r="I31" s="1280">
        <v>1591340</v>
      </c>
      <c r="J31" s="1278">
        <f>+B31+F31</f>
        <v>1253152</v>
      </c>
      <c r="K31" s="1279">
        <f t="shared" ref="K31:L33" si="8">+C31+G31</f>
        <v>2761099</v>
      </c>
      <c r="L31" s="1279">
        <f t="shared" si="8"/>
        <v>1913176</v>
      </c>
      <c r="M31" s="1280">
        <f>+E31+I31</f>
        <v>5927427</v>
      </c>
      <c r="N31" s="1281"/>
      <c r="O31" s="1280"/>
    </row>
    <row r="32" spans="1:15" ht="15.6" x14ac:dyDescent="0.3">
      <c r="A32" s="1282" t="s">
        <v>32</v>
      </c>
      <c r="B32" s="1283">
        <v>884618</v>
      </c>
      <c r="C32" s="1284">
        <v>1922405</v>
      </c>
      <c r="D32" s="1284">
        <v>1166184</v>
      </c>
      <c r="E32" s="1285">
        <v>3973207</v>
      </c>
      <c r="F32" s="1283">
        <v>220423</v>
      </c>
      <c r="G32" s="1284">
        <v>592319</v>
      </c>
      <c r="H32" s="1284">
        <v>585827</v>
      </c>
      <c r="I32" s="1285">
        <v>1398569</v>
      </c>
      <c r="J32" s="1283">
        <f>+B32+F32</f>
        <v>1105041</v>
      </c>
      <c r="K32" s="1284">
        <f t="shared" si="8"/>
        <v>2514724</v>
      </c>
      <c r="L32" s="1284">
        <f t="shared" si="8"/>
        <v>1752011</v>
      </c>
      <c r="M32" s="1285">
        <f>+E32+I32</f>
        <v>5371776</v>
      </c>
      <c r="N32" s="1286"/>
      <c r="O32" s="1285"/>
    </row>
    <row r="33" spans="1:15" ht="16.2" thickBot="1" x14ac:dyDescent="0.35">
      <c r="A33" s="1287" t="s">
        <v>33</v>
      </c>
      <c r="B33" s="1288">
        <v>1887101</v>
      </c>
      <c r="C33" s="1289">
        <v>4009942</v>
      </c>
      <c r="D33" s="1289">
        <v>2412251</v>
      </c>
      <c r="E33" s="1290">
        <v>8309294</v>
      </c>
      <c r="F33" s="1288">
        <v>471092</v>
      </c>
      <c r="G33" s="1289">
        <v>1265881</v>
      </c>
      <c r="H33" s="1289">
        <v>1252936</v>
      </c>
      <c r="I33" s="1290">
        <v>2989909</v>
      </c>
      <c r="J33" s="1288">
        <f>+B33+F33</f>
        <v>2358193</v>
      </c>
      <c r="K33" s="1289">
        <f t="shared" si="8"/>
        <v>5275823</v>
      </c>
      <c r="L33" s="1289">
        <f t="shared" si="8"/>
        <v>3665187</v>
      </c>
      <c r="M33" s="1290">
        <f>+E33+I33</f>
        <v>11299203</v>
      </c>
      <c r="N33" s="1291"/>
      <c r="O33" s="1290"/>
    </row>
    <row r="34" spans="1:15" x14ac:dyDescent="0.3">
      <c r="J34" s="38"/>
      <c r="K34" s="38"/>
      <c r="L34" s="38"/>
      <c r="M34" s="38"/>
    </row>
    <row r="35" spans="1:15" x14ac:dyDescent="0.3">
      <c r="B35" s="971"/>
      <c r="C35" s="971"/>
      <c r="D35" s="971"/>
      <c r="E35" s="971"/>
      <c r="F35" s="971"/>
      <c r="G35" s="971"/>
      <c r="H35" s="971"/>
      <c r="I35" s="971"/>
      <c r="J35" s="971"/>
      <c r="K35" s="971"/>
      <c r="L35" s="971"/>
      <c r="M35" s="971"/>
    </row>
    <row r="36" spans="1:15" x14ac:dyDescent="0.3">
      <c r="B36" s="876"/>
      <c r="C36" s="876"/>
      <c r="D36" s="876"/>
    </row>
    <row r="39" spans="1:15" x14ac:dyDescent="0.3">
      <c r="B39" s="717"/>
      <c r="C39" s="717"/>
      <c r="D39" s="717"/>
    </row>
    <row r="40" spans="1:15" x14ac:dyDescent="0.3">
      <c r="B40" s="717"/>
      <c r="C40" s="717"/>
      <c r="D40" s="717"/>
    </row>
    <row r="43" spans="1:15" x14ac:dyDescent="0.3">
      <c r="B43" s="876"/>
      <c r="C43" s="876"/>
      <c r="D43" s="876"/>
    </row>
    <row r="44" spans="1:15" x14ac:dyDescent="0.3">
      <c r="B44" s="876"/>
      <c r="C44" s="876"/>
      <c r="D44" s="876"/>
    </row>
  </sheetData>
  <mergeCells count="3">
    <mergeCell ref="B2:E2"/>
    <mergeCell ref="F2:I2"/>
    <mergeCell ref="J2:M2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E36"/>
  <sheetViews>
    <sheetView workbookViewId="0">
      <selection activeCell="S12" sqref="S12"/>
    </sheetView>
  </sheetViews>
  <sheetFormatPr baseColWidth="10" defaultRowHeight="14.4" x14ac:dyDescent="0.3"/>
  <cols>
    <col min="1" max="1" width="25.33203125" customWidth="1"/>
    <col min="6" max="6" width="10.109375" bestFit="1" customWidth="1"/>
    <col min="7" max="8" width="9.88671875" customWidth="1"/>
    <col min="9" max="9" width="10.44140625" customWidth="1"/>
    <col min="10" max="10" width="10.109375" customWidth="1"/>
    <col min="11" max="11" width="10.6640625" customWidth="1"/>
    <col min="12" max="12" width="10.44140625" customWidth="1"/>
    <col min="14" max="14" width="10.44140625" customWidth="1"/>
    <col min="15" max="15" width="10.5546875" customWidth="1"/>
    <col min="17" max="17" width="24.88671875" bestFit="1" customWidth="1"/>
    <col min="18" max="18" width="14.44140625" customWidth="1"/>
  </cols>
  <sheetData>
    <row r="1" spans="1:31" ht="15" thickBot="1" x14ac:dyDescent="0.35">
      <c r="A1" s="83"/>
      <c r="B1" s="1054" t="s">
        <v>109</v>
      </c>
      <c r="C1" s="1054"/>
      <c r="D1" s="1054"/>
      <c r="E1" s="1054"/>
      <c r="F1" s="1054"/>
      <c r="G1" s="1054"/>
      <c r="H1" s="1054"/>
      <c r="I1" s="1054"/>
      <c r="J1" s="1054"/>
      <c r="K1" s="1054"/>
      <c r="L1" s="1054"/>
      <c r="M1" s="1054"/>
      <c r="N1" s="1054"/>
      <c r="O1" s="1054"/>
      <c r="R1" s="1054" t="s">
        <v>110</v>
      </c>
      <c r="S1" s="1054"/>
      <c r="T1" s="1054"/>
      <c r="U1" s="1054"/>
      <c r="V1" s="1054"/>
      <c r="W1" s="1054"/>
      <c r="X1" s="1054"/>
      <c r="Y1" s="1054"/>
      <c r="Z1" s="1054"/>
      <c r="AA1" s="1054"/>
      <c r="AB1" s="1054"/>
      <c r="AC1" s="1054"/>
      <c r="AD1" s="1054"/>
      <c r="AE1" s="1054"/>
    </row>
    <row r="2" spans="1:31" ht="15.75" customHeight="1" x14ac:dyDescent="0.3">
      <c r="A2" s="95"/>
      <c r="B2" s="1055" t="s">
        <v>0</v>
      </c>
      <c r="C2" s="1056"/>
      <c r="D2" s="1056"/>
      <c r="E2" s="1057"/>
      <c r="F2" s="1058" t="s">
        <v>1</v>
      </c>
      <c r="G2" s="1058"/>
      <c r="H2" s="1058"/>
      <c r="I2" s="1058"/>
      <c r="J2" s="1059" t="s">
        <v>2</v>
      </c>
      <c r="K2" s="1060"/>
      <c r="L2" s="1060"/>
      <c r="M2" s="1061"/>
      <c r="N2" s="162" t="s">
        <v>3</v>
      </c>
      <c r="O2" s="163" t="s">
        <v>4</v>
      </c>
      <c r="Q2" s="4"/>
      <c r="R2" s="982" t="s">
        <v>0</v>
      </c>
      <c r="S2" s="983"/>
      <c r="T2" s="983"/>
      <c r="U2" s="984"/>
      <c r="V2" s="982" t="s">
        <v>1</v>
      </c>
      <c r="W2" s="983"/>
      <c r="X2" s="983"/>
      <c r="Y2" s="983"/>
      <c r="Z2" s="985" t="s">
        <v>2</v>
      </c>
      <c r="AA2" s="986"/>
      <c r="AB2" s="986"/>
      <c r="AC2" s="987"/>
      <c r="AD2" s="5" t="s">
        <v>3</v>
      </c>
      <c r="AE2" s="6" t="s">
        <v>4</v>
      </c>
    </row>
    <row r="3" spans="1:31" ht="15.6" x14ac:dyDescent="0.3">
      <c r="A3" s="96"/>
      <c r="B3" s="97" t="s">
        <v>5</v>
      </c>
      <c r="C3" s="98" t="s">
        <v>6</v>
      </c>
      <c r="D3" s="99" t="s">
        <v>7</v>
      </c>
      <c r="E3" s="100" t="s">
        <v>8</v>
      </c>
      <c r="F3" s="152" t="s">
        <v>5</v>
      </c>
      <c r="G3" s="153" t="s">
        <v>6</v>
      </c>
      <c r="H3" s="154" t="s">
        <v>7</v>
      </c>
      <c r="I3" s="155" t="s">
        <v>8</v>
      </c>
      <c r="J3" s="157" t="s">
        <v>5</v>
      </c>
      <c r="K3" s="158" t="s">
        <v>6</v>
      </c>
      <c r="L3" s="159" t="s">
        <v>7</v>
      </c>
      <c r="M3" s="160" t="s">
        <v>8</v>
      </c>
      <c r="N3" s="164" t="s">
        <v>8</v>
      </c>
      <c r="O3" s="165" t="s">
        <v>8</v>
      </c>
      <c r="Q3" s="87"/>
      <c r="R3" s="88" t="s">
        <v>5</v>
      </c>
      <c r="S3" s="88" t="s">
        <v>6</v>
      </c>
      <c r="T3" s="89" t="s">
        <v>7</v>
      </c>
      <c r="U3" s="90" t="s">
        <v>8</v>
      </c>
      <c r="V3" s="88" t="s">
        <v>5</v>
      </c>
      <c r="W3" s="88" t="s">
        <v>6</v>
      </c>
      <c r="X3" s="89" t="s">
        <v>7</v>
      </c>
      <c r="Y3" s="91" t="s">
        <v>8</v>
      </c>
      <c r="Z3" s="92" t="s">
        <v>5</v>
      </c>
      <c r="AA3" s="88" t="s">
        <v>6</v>
      </c>
      <c r="AB3" s="89" t="s">
        <v>7</v>
      </c>
      <c r="AC3" s="90" t="s">
        <v>8</v>
      </c>
      <c r="AD3" s="90" t="s">
        <v>8</v>
      </c>
      <c r="AE3" s="93" t="s">
        <v>8</v>
      </c>
    </row>
    <row r="4" spans="1:31" ht="16.5" customHeight="1" x14ac:dyDescent="0.3">
      <c r="A4" s="102" t="s">
        <v>9</v>
      </c>
      <c r="B4" s="101">
        <f>'2014'!B4-'2013'!B4</f>
        <v>-7893</v>
      </c>
      <c r="C4" s="101">
        <f>'2014'!C4-'2013'!C4</f>
        <v>49955</v>
      </c>
      <c r="D4" s="101">
        <f>'2014'!D4-'2013'!D4</f>
        <v>-32710</v>
      </c>
      <c r="E4" s="101">
        <f>'2014'!E4-'2013'!E4</f>
        <v>9352</v>
      </c>
      <c r="F4" s="156">
        <f>'2014'!F4-'2013'!F4</f>
        <v>1546.4779830000771</v>
      </c>
      <c r="G4" s="156">
        <f>'2014'!G4-'2013'!G4</f>
        <v>3807.5624989995267</v>
      </c>
      <c r="H4" s="156">
        <f>'2014'!H4-'2013'!H4</f>
        <v>6366.178822998947</v>
      </c>
      <c r="I4" s="156">
        <f>'2014'!I4-'2013'!I4</f>
        <v>11720.219304998638</v>
      </c>
      <c r="J4" s="161">
        <f>'2014'!J4-'2013'!J4</f>
        <v>-6347</v>
      </c>
      <c r="K4" s="161">
        <f>'2014'!K4-'2013'!K4</f>
        <v>53763</v>
      </c>
      <c r="L4" s="161">
        <f>'2014'!L4-'2013'!L4</f>
        <v>-26344</v>
      </c>
      <c r="M4" s="161">
        <f>'2014'!M4-'2013'!M4</f>
        <v>21072.219304998405</v>
      </c>
      <c r="N4" s="166">
        <f>'2014'!N4-'2013'!N4</f>
        <v>5428.32915299671</v>
      </c>
      <c r="O4" s="166">
        <f>'2014'!O4-'2013'!O4</f>
        <v>6291.8901520125219</v>
      </c>
      <c r="P4" s="39"/>
      <c r="Q4" s="84" t="s">
        <v>9</v>
      </c>
      <c r="R4" s="104">
        <f>B4/'2013'!B4*100</f>
        <v>-1.4663644639307412</v>
      </c>
      <c r="S4" s="104">
        <f>C4/'2013'!C4*100</f>
        <v>5.6973899555773517</v>
      </c>
      <c r="T4" s="104">
        <f>D4/'2013'!D4*100</f>
        <v>-3.4111647599879031</v>
      </c>
      <c r="U4" s="104">
        <f>E4/'2013'!E4*100</f>
        <v>0.39393677719109432</v>
      </c>
      <c r="V4" s="104">
        <f>F4/'2013'!F4*100</f>
        <v>1.4122957625958457</v>
      </c>
      <c r="W4" s="104">
        <f>G4/'2013'!G4*100</f>
        <v>1.3967324513488479</v>
      </c>
      <c r="X4" s="104">
        <f>H4/'2013'!H4*100</f>
        <v>1.4691905193022456</v>
      </c>
      <c r="Y4" s="104">
        <f>I4/'2013'!I4*100</f>
        <v>1.4373265374321682</v>
      </c>
      <c r="Z4" s="104">
        <f>J4/'2013'!J4*100</f>
        <v>-0.97982157274715909</v>
      </c>
      <c r="AA4" s="104">
        <f>K4/'2013'!K4*100</f>
        <v>4.677443209994693</v>
      </c>
      <c r="AB4" s="104">
        <f>L4/'2013'!L4*100</f>
        <v>-1.8922269580569764</v>
      </c>
      <c r="AC4" s="104">
        <f>M4/'2013'!M4*100</f>
        <v>0.66069478535633175</v>
      </c>
      <c r="AD4" s="104">
        <f>N4/'2013'!N4*100</f>
        <v>1.3721623525031876</v>
      </c>
      <c r="AE4" s="104">
        <f>O4/'2013'!O4*100</f>
        <v>1.4987328083419138</v>
      </c>
    </row>
    <row r="5" spans="1:31" ht="16.5" customHeight="1" x14ac:dyDescent="0.3">
      <c r="A5" s="102" t="s">
        <v>10</v>
      </c>
      <c r="B5" s="101">
        <f>'2014'!B5-'2013'!B5</f>
        <v>-8201</v>
      </c>
      <c r="C5" s="101">
        <f>'2014'!C5-'2013'!C5</f>
        <v>39204</v>
      </c>
      <c r="D5" s="101">
        <f>'2014'!D5-'2013'!D5</f>
        <v>11422</v>
      </c>
      <c r="E5" s="101">
        <f>'2014'!E5-'2013'!E5</f>
        <v>42425</v>
      </c>
      <c r="F5" s="156">
        <f>'2014'!F5-'2013'!F5</f>
        <v>1146.99190000011</v>
      </c>
      <c r="G5" s="156">
        <f>'2014'!G5-'2013'!G5</f>
        <v>1774.1632060000993</v>
      </c>
      <c r="H5" s="156">
        <f>'2014'!H5-'2013'!H5</f>
        <v>678.7305120000965</v>
      </c>
      <c r="I5" s="156">
        <f>'2014'!I5-'2013'!I5</f>
        <v>3599.8856180002913</v>
      </c>
      <c r="J5" s="161">
        <f>'2014'!J5-'2013'!J5</f>
        <v>-7054.0080999998609</v>
      </c>
      <c r="K5" s="161">
        <f>'2014'!K5-'2013'!K5</f>
        <v>40978.163206000114</v>
      </c>
      <c r="L5" s="161">
        <f>'2014'!L5-'2013'!L5</f>
        <v>12100.730512000096</v>
      </c>
      <c r="M5" s="161">
        <f>'2014'!M5-'2013'!M5</f>
        <v>46024.885618000291</v>
      </c>
      <c r="N5" s="166"/>
      <c r="O5" s="166"/>
      <c r="P5" s="40"/>
      <c r="Q5" s="84" t="s">
        <v>10</v>
      </c>
      <c r="R5" s="104">
        <f>B5/'2013'!B5*100</f>
        <v>-1.6754925756127061</v>
      </c>
      <c r="S5" s="104">
        <f>C5/'2013'!C5*100</f>
        <v>5.9501513187650446</v>
      </c>
      <c r="T5" s="104">
        <f>D5/'2013'!D5*100</f>
        <v>2.6635511839300787</v>
      </c>
      <c r="U5" s="104">
        <f>E5/'2013'!E5*100</f>
        <v>2.6899480587990623</v>
      </c>
      <c r="V5" s="104">
        <f>F5/'2013'!F5*100</f>
        <v>1.3881898940999817</v>
      </c>
      <c r="W5" s="104">
        <f>G5/'2013'!G5*100</f>
        <v>1.3814457953095114</v>
      </c>
      <c r="X5" s="104">
        <f>H5/'2013'!H5*100</f>
        <v>1.3835830724072418</v>
      </c>
      <c r="Y5" s="104">
        <f>I5/'2013'!I5*100</f>
        <v>1.3839911798516358</v>
      </c>
      <c r="Z5" s="104">
        <f>J5/'2013'!J5*100</f>
        <v>-1.2330177261389077</v>
      </c>
      <c r="AA5" s="104">
        <f>K5/'2013'!K5*100</f>
        <v>5.2048849369111361</v>
      </c>
      <c r="AB5" s="104">
        <f>L5/'2013'!L5*100</f>
        <v>2.5321586734800841</v>
      </c>
      <c r="AC5" s="104">
        <f>M5/'2013'!M5*100</f>
        <v>2.5050596952990918</v>
      </c>
      <c r="AD5" s="104"/>
      <c r="AE5" s="104"/>
    </row>
    <row r="6" spans="1:31" ht="16.5" customHeight="1" x14ac:dyDescent="0.3">
      <c r="A6" s="102" t="s">
        <v>35</v>
      </c>
      <c r="B6" s="101">
        <f>'2014'!B6-'2013'!B6</f>
        <v>151</v>
      </c>
      <c r="C6" s="101">
        <f>'2014'!C6-'2013'!C6</f>
        <v>326074</v>
      </c>
      <c r="D6" s="101">
        <f>'2014'!D6-'2013'!D6</f>
        <v>-126870</v>
      </c>
      <c r="E6" s="101">
        <f>'2014'!E6-'2013'!E6</f>
        <v>199355</v>
      </c>
      <c r="F6" s="156">
        <f>'2014'!F6-'2013'!F6</f>
        <v>7167.5985514125787</v>
      </c>
      <c r="G6" s="156">
        <f>'2014'!G6-'2013'!G6</f>
        <v>17646</v>
      </c>
      <c r="H6" s="156">
        <f>'2014'!H6-'2013'!H6</f>
        <v>22100.57837887085</v>
      </c>
      <c r="I6" s="156">
        <f>'2014'!I6-'2013'!I6</f>
        <v>46915</v>
      </c>
      <c r="J6" s="161">
        <f>'2014'!J6-'2013'!J6</f>
        <v>7318.5985514125787</v>
      </c>
      <c r="K6" s="161">
        <f>'2014'!K6-'2013'!K6</f>
        <v>343720</v>
      </c>
      <c r="L6" s="161">
        <f>'2014'!L6-'2013'!L6</f>
        <v>-104769</v>
      </c>
      <c r="M6" s="161">
        <f>'2014'!M6-'2013'!M6</f>
        <v>246270</v>
      </c>
      <c r="N6" s="166">
        <f>'2014'!N6-'2013'!N6</f>
        <v>23230.943185841432</v>
      </c>
      <c r="O6" s="166">
        <f>'2014'!O6-'2013'!O6</f>
        <v>23684.100675725611</v>
      </c>
      <c r="P6" s="39"/>
      <c r="Q6" s="84" t="s">
        <v>35</v>
      </c>
      <c r="R6" s="104">
        <f>B6/'2013'!B6*100</f>
        <v>7.6939930805015868E-3</v>
      </c>
      <c r="S6" s="104">
        <f>C6/'2013'!C6*100</f>
        <v>9.6375165440970001</v>
      </c>
      <c r="T6" s="104">
        <f>D6/'2013'!D6*100</f>
        <v>-3.5038675937402646</v>
      </c>
      <c r="U6" s="104">
        <f>E6/'2013'!E6*100</f>
        <v>2.2232549196994071</v>
      </c>
      <c r="V6" s="104">
        <f>F6/'2013'!F6*100</f>
        <v>1.7773167538874979</v>
      </c>
      <c r="W6" s="104">
        <f>G6/'2013'!G6*100</f>
        <v>1.6860647882290778</v>
      </c>
      <c r="X6" s="104">
        <f>H6/'2013'!H6*100</f>
        <v>1.3072600947041293</v>
      </c>
      <c r="Y6" s="104">
        <f>I6/'2013'!I6*100</f>
        <v>1.4938875274481733</v>
      </c>
      <c r="Z6" s="104">
        <f>J6/'2013'!J6*100</f>
        <v>0.30934304222802517</v>
      </c>
      <c r="AA6" s="104">
        <f>K6/'2013'!K6*100</f>
        <v>7.7589847856448397</v>
      </c>
      <c r="AB6" s="104">
        <f>L6/'2013'!L6*100</f>
        <v>-1.9725088718561132</v>
      </c>
      <c r="AC6" s="104">
        <f>M6/'2013'!M6*100</f>
        <v>2.0340667988627001</v>
      </c>
      <c r="AD6" s="104">
        <f>N6/'2013'!N6*100</f>
        <v>1.442042439258302</v>
      </c>
      <c r="AE6" s="104">
        <f>O6/'2013'!O6*100</f>
        <v>1.5484976142833071</v>
      </c>
    </row>
    <row r="7" spans="1:31" ht="16.5" customHeight="1" x14ac:dyDescent="0.3">
      <c r="A7" s="102" t="s">
        <v>11</v>
      </c>
      <c r="B7" s="101">
        <f>'2014'!B7-'2013'!B7</f>
        <v>-1577</v>
      </c>
      <c r="C7" s="101">
        <f>'2014'!C7-'2013'!C7</f>
        <v>328752</v>
      </c>
      <c r="D7" s="101">
        <f>'2014'!D7-'2013'!D7</f>
        <v>4704</v>
      </c>
      <c r="E7" s="101">
        <f>'2014'!E7-'2013'!E7</f>
        <v>331879</v>
      </c>
      <c r="F7" s="156">
        <f>'2014'!F7-'2013'!F7</f>
        <v>0</v>
      </c>
      <c r="G7" s="156">
        <f>'2014'!G7-'2013'!G7</f>
        <v>0</v>
      </c>
      <c r="H7" s="156">
        <f>'2014'!H7-'2013'!H7</f>
        <v>0</v>
      </c>
      <c r="I7" s="156">
        <f>'2014'!I7-'2013'!I7</f>
        <v>16422.518807568471</v>
      </c>
      <c r="J7" s="161">
        <f>'2014'!J7-'2013'!J7</f>
        <v>0</v>
      </c>
      <c r="K7" s="161">
        <f>'2014'!K7-'2013'!K7</f>
        <v>0</v>
      </c>
      <c r="L7" s="161">
        <f>'2014'!L7-'2013'!L7</f>
        <v>0</v>
      </c>
      <c r="M7" s="161">
        <f>'2014'!M7-'2013'!M7</f>
        <v>7347048.5188075686</v>
      </c>
      <c r="N7" s="166"/>
      <c r="O7" s="166"/>
      <c r="P7" s="39"/>
      <c r="Q7" s="84" t="s">
        <v>11</v>
      </c>
      <c r="R7" s="104">
        <f>B7/'2013'!B7*100</f>
        <v>-8.7999825897617748E-2</v>
      </c>
      <c r="S7" s="104">
        <f>C7/'2013'!C7*100</f>
        <v>13.007249989317305</v>
      </c>
      <c r="T7" s="104">
        <f>D7/'2013'!D7*100</f>
        <v>0.27898337131002382</v>
      </c>
      <c r="U7" s="104">
        <f>E7/'2013'!E7*100</f>
        <v>5.5261377545676771</v>
      </c>
      <c r="V7" s="104"/>
      <c r="W7" s="104"/>
      <c r="X7" s="104"/>
      <c r="Y7" s="104"/>
      <c r="Z7" s="104"/>
      <c r="AA7" s="104"/>
      <c r="AB7" s="104"/>
      <c r="AC7" s="104"/>
      <c r="AD7" s="104"/>
      <c r="AE7" s="104"/>
    </row>
    <row r="8" spans="1:31" ht="16.5" customHeight="1" x14ac:dyDescent="0.3">
      <c r="A8" s="102" t="s">
        <v>12</v>
      </c>
      <c r="B8" s="101">
        <f>'2014'!B8-'2013'!B8</f>
        <v>25828</v>
      </c>
      <c r="C8" s="101">
        <f>'2014'!C8-'2013'!C8</f>
        <v>165852</v>
      </c>
      <c r="D8" s="101">
        <f>'2014'!D8-'2013'!D8</f>
        <v>-87835</v>
      </c>
      <c r="E8" s="101">
        <f>'2014'!E8-'2013'!E8</f>
        <v>103845</v>
      </c>
      <c r="F8" s="156">
        <f>'2014'!F8-'2013'!F8</f>
        <v>3836.4211044659605</v>
      </c>
      <c r="G8" s="156">
        <f>'2014'!G8-'2013'!G8</f>
        <v>9902.4388509741984</v>
      </c>
      <c r="H8" s="156">
        <f>'2014'!H8-'2013'!H8</f>
        <v>11953</v>
      </c>
      <c r="I8" s="156">
        <f>'2014'!I8-'2013'!I8</f>
        <v>25691</v>
      </c>
      <c r="J8" s="161">
        <f>'2014'!J8-'2013'!J8</f>
        <v>29664.421104466077</v>
      </c>
      <c r="K8" s="161">
        <f>'2014'!K8-'2013'!K8</f>
        <v>175754.4388509742</v>
      </c>
      <c r="L8" s="161">
        <f>'2014'!L8-'2013'!L8</f>
        <v>-75882</v>
      </c>
      <c r="M8" s="161">
        <f>'2014'!M8-'2013'!M8</f>
        <v>129536</v>
      </c>
      <c r="N8" s="166">
        <f>'2014'!N8-'2013'!N8</f>
        <v>12266</v>
      </c>
      <c r="O8" s="166">
        <f>'2014'!O8-'2013'!O8</f>
        <v>13425.416786727845</v>
      </c>
      <c r="P8" s="39"/>
      <c r="Q8" s="84" t="s">
        <v>12</v>
      </c>
      <c r="R8" s="104">
        <f>B8/'2013'!B8*100</f>
        <v>2.5098365418906954</v>
      </c>
      <c r="S8" s="104">
        <f>C8/'2013'!C8*100</f>
        <v>9.5618274083580381</v>
      </c>
      <c r="T8" s="104">
        <f>D8/'2013'!D8*100</f>
        <v>-4.7633767452202189</v>
      </c>
      <c r="U8" s="104">
        <f>E8/'2013'!E8*100</f>
        <v>2.2537969136796541</v>
      </c>
      <c r="V8" s="104">
        <f>F8/'2013'!F8*100</f>
        <v>1.888950705800136</v>
      </c>
      <c r="W8" s="104">
        <f>G8/'2013'!G8*100</f>
        <v>1.796442260596707</v>
      </c>
      <c r="X8" s="104">
        <f>H8/'2013'!H8*100</f>
        <v>1.3675027886623001</v>
      </c>
      <c r="Y8" s="104">
        <f>I8/'2013'!I8*100</f>
        <v>1.5776855535317533</v>
      </c>
      <c r="Z8" s="104">
        <f>J8/'2013'!J8*100</f>
        <v>2.4074961392849583</v>
      </c>
      <c r="AA8" s="104">
        <f>K8/'2013'!K8*100</f>
        <v>7.689146648818709</v>
      </c>
      <c r="AB8" s="104">
        <f>L8/'2013'!L8*100</f>
        <v>-2.7917911436181955</v>
      </c>
      <c r="AC8" s="104">
        <f>M8/'2013'!M8*100</f>
        <v>2.0772436495703306</v>
      </c>
      <c r="AD8" s="104">
        <f>N8/'2013'!N8*100</f>
        <v>1.4672231253311898</v>
      </c>
      <c r="AE8" s="104">
        <f>O8/'2013'!O8*100</f>
        <v>1.6942791033696298</v>
      </c>
    </row>
    <row r="9" spans="1:31" ht="16.5" customHeight="1" x14ac:dyDescent="0.3">
      <c r="A9" s="102" t="s">
        <v>13</v>
      </c>
      <c r="B9" s="101">
        <f>'2014'!B9-'2013'!B9</f>
        <v>-25677</v>
      </c>
      <c r="C9" s="101">
        <f>'2014'!C9-'2013'!C9</f>
        <v>160222</v>
      </c>
      <c r="D9" s="101">
        <f>'2014'!D9-'2013'!D9</f>
        <v>-39035</v>
      </c>
      <c r="E9" s="101">
        <f>'2014'!E9-'2013'!E9</f>
        <v>95510</v>
      </c>
      <c r="F9" s="156">
        <f>'2014'!F9-'2013'!F9</f>
        <v>3332</v>
      </c>
      <c r="G9" s="156">
        <f>'2014'!G9-'2013'!G9</f>
        <v>7744.4280803048168</v>
      </c>
      <c r="H9" s="156">
        <f>'2014'!H9-'2013'!H9</f>
        <v>10148</v>
      </c>
      <c r="I9" s="156">
        <f>'2014'!I9-'2013'!I9</f>
        <v>21224.428080304759</v>
      </c>
      <c r="J9" s="161">
        <f>'2014'!J9-'2013'!J9</f>
        <v>-22345</v>
      </c>
      <c r="K9" s="161">
        <f>'2014'!K9-'2013'!K9</f>
        <v>167966.42808030499</v>
      </c>
      <c r="L9" s="161">
        <f>'2014'!L9-'2013'!L9</f>
        <v>-28887</v>
      </c>
      <c r="M9" s="161">
        <f>'2014'!M9-'2013'!M9</f>
        <v>116734.42808030453</v>
      </c>
      <c r="N9" s="166">
        <f>'2014'!N9-'2013'!N9</f>
        <v>10965</v>
      </c>
      <c r="O9" s="166">
        <f>'2014'!O9-'2013'!O9</f>
        <v>10258.683888997883</v>
      </c>
      <c r="P9" s="39"/>
      <c r="Q9" s="84" t="s">
        <v>13</v>
      </c>
      <c r="R9" s="104">
        <f>B9/'2013'!B9*100</f>
        <v>-2.7506189080009729</v>
      </c>
      <c r="S9" s="104">
        <f>C9/'2013'!C9*100</f>
        <v>9.7171379013378942</v>
      </c>
      <c r="T9" s="104">
        <f>D9/'2013'!D9*100</f>
        <v>-2.1968145485570019</v>
      </c>
      <c r="U9" s="104">
        <f>E9/'2013'!E9*100</f>
        <v>2.1909732178700465</v>
      </c>
      <c r="V9" s="104">
        <f>F9/'2013'!F9*100</f>
        <v>1.6644686888062983</v>
      </c>
      <c r="W9" s="104">
        <f>G9/'2013'!G9*100</f>
        <v>1.5634128482468732</v>
      </c>
      <c r="X9" s="104">
        <f>H9/'2013'!H9*100</f>
        <v>1.2428232712166638</v>
      </c>
      <c r="Y9" s="104">
        <f>I9/'2013'!I9*100</f>
        <v>1.4036707445511478</v>
      </c>
      <c r="Z9" s="104">
        <f>J9/'2013'!J9*100</f>
        <v>-1.9710095326471333</v>
      </c>
      <c r="AA9" s="104">
        <f>K9/'2013'!K9*100</f>
        <v>7.833473155212352</v>
      </c>
      <c r="AB9" s="104">
        <f>L9/'2013'!L9*100</f>
        <v>-1.1138578070107452</v>
      </c>
      <c r="AC9" s="104">
        <f>M9/'2013'!M9*100</f>
        <v>1.9882157267689988</v>
      </c>
      <c r="AD9" s="104">
        <f>N9/'2013'!N9*100</f>
        <v>1.4148861768265775</v>
      </c>
      <c r="AE9" s="104">
        <f>O9/'2013'!O9*100</f>
        <v>1.3917779448152854</v>
      </c>
    </row>
    <row r="10" spans="1:31" ht="16.5" customHeight="1" x14ac:dyDescent="0.3">
      <c r="A10" s="102" t="s">
        <v>34</v>
      </c>
      <c r="B10" s="101">
        <f>'2014'!B10-'2013'!B10</f>
        <v>20037</v>
      </c>
      <c r="C10" s="101">
        <f>'2014'!C10-'2013'!C10</f>
        <v>22076</v>
      </c>
      <c r="D10" s="101">
        <f>'2014'!D10-'2013'!D10</f>
        <v>-47423</v>
      </c>
      <c r="E10" s="101">
        <f>'2014'!E10-'2013'!E10</f>
        <v>-5310</v>
      </c>
      <c r="F10" s="156">
        <f>'2014'!F10-'2013'!F10</f>
        <v>-22.434680621925509</v>
      </c>
      <c r="G10" s="156">
        <f>'2014'!G10-'2013'!G10</f>
        <v>-115.2912345273653</v>
      </c>
      <c r="H10" s="156">
        <f>'2014'!H10-'2013'!H10</f>
        <v>-32</v>
      </c>
      <c r="I10" s="156">
        <f>'2014'!I10-'2013'!I10</f>
        <v>-169</v>
      </c>
      <c r="J10" s="161">
        <f>'2014'!J10-'2013'!J10</f>
        <v>20014.565319378074</v>
      </c>
      <c r="K10" s="161">
        <f>'2014'!K10-'2013'!K10</f>
        <v>21960.708765472635</v>
      </c>
      <c r="L10" s="161">
        <f>'2014'!L10-'2013'!L10</f>
        <v>-47455</v>
      </c>
      <c r="M10" s="161">
        <f>'2014'!M10-'2013'!M10</f>
        <v>-5479</v>
      </c>
      <c r="N10" s="166"/>
      <c r="O10" s="166"/>
      <c r="P10" s="39"/>
      <c r="Q10" s="84" t="s">
        <v>34</v>
      </c>
      <c r="R10" s="104">
        <f>B10/'2013'!B10*100</f>
        <v>10.616416581892167</v>
      </c>
      <c r="S10" s="104">
        <f>C10/'2013'!C10*100</f>
        <v>4.8274444459022705</v>
      </c>
      <c r="T10" s="104">
        <f>D10/'2013'!D10*100</f>
        <v>-7.1649480642115213</v>
      </c>
      <c r="U10" s="104">
        <f>E10/'2013'!E10*100</f>
        <v>-0.40599030669471137</v>
      </c>
      <c r="V10" s="104">
        <f>F10/'2013'!F10*100</f>
        <v>-5.0401421239049039E-2</v>
      </c>
      <c r="W10" s="104">
        <f>G10/'2013'!G10*100</f>
        <v>-9.3040579855033945E-2</v>
      </c>
      <c r="X10" s="104">
        <f>H10/'2013'!H10*100</f>
        <v>-1.0828773404532518E-2</v>
      </c>
      <c r="Y10" s="104">
        <f>I10/'2013'!I10*100</f>
        <v>-3.642743826734722E-2</v>
      </c>
      <c r="Z10" s="104">
        <f>J10/'2013'!J10*100</f>
        <v>8.5808089755873898</v>
      </c>
      <c r="AA10" s="104">
        <f>K10/'2013'!K10*100</f>
        <v>3.7784009699428327</v>
      </c>
      <c r="AB10" s="104">
        <f>L10/'2013'!L10*100</f>
        <v>-4.9567362730106206</v>
      </c>
      <c r="AC10" s="104">
        <f>M10/'2013'!M10*100</f>
        <v>-0.30922499603521519</v>
      </c>
      <c r="AD10" s="104"/>
      <c r="AE10" s="104"/>
    </row>
    <row r="11" spans="1:31" ht="16.5" customHeight="1" x14ac:dyDescent="0.3">
      <c r="A11" s="103" t="s">
        <v>36</v>
      </c>
      <c r="B11" s="101">
        <f>'2014'!B11-'2013'!B11</f>
        <v>5122</v>
      </c>
      <c r="C11" s="101">
        <f>'2014'!C11-'2013'!C11</f>
        <v>39820</v>
      </c>
      <c r="D11" s="101">
        <f>'2014'!D11-'2013'!D11</f>
        <v>-39684</v>
      </c>
      <c r="E11" s="101">
        <f>'2014'!E11-'2013'!E11</f>
        <v>5258</v>
      </c>
      <c r="F11" s="156"/>
      <c r="G11" s="156"/>
      <c r="H11" s="156"/>
      <c r="I11" s="156"/>
      <c r="J11" s="161"/>
      <c r="K11" s="161"/>
      <c r="L11" s="161"/>
      <c r="M11" s="161"/>
      <c r="N11" s="166"/>
      <c r="O11" s="166"/>
      <c r="P11" s="40"/>
      <c r="Q11" s="85" t="s">
        <v>36</v>
      </c>
      <c r="R11" s="104">
        <f>B11/'2013'!B11*100</f>
        <v>5.446155154814563</v>
      </c>
      <c r="S11" s="167">
        <f>C11/'2013'!C11*100</f>
        <v>17.389329711648056</v>
      </c>
      <c r="T11" s="104">
        <f>D11/'2013'!D11*100</f>
        <v>-11.518534321366063</v>
      </c>
      <c r="U11" s="104">
        <f>E11/'2013'!E11*100</f>
        <v>0.78764219653006018</v>
      </c>
      <c r="V11" s="104"/>
      <c r="W11" s="104"/>
      <c r="X11" s="104"/>
      <c r="Y11" s="104"/>
      <c r="Z11" s="104"/>
      <c r="AA11" s="104"/>
      <c r="AB11" s="104"/>
      <c r="AC11" s="104"/>
      <c r="AD11" s="104"/>
      <c r="AE11" s="104"/>
    </row>
    <row r="12" spans="1:31" ht="16.5" customHeight="1" x14ac:dyDescent="0.3">
      <c r="A12" s="103" t="s">
        <v>37</v>
      </c>
      <c r="B12" s="101">
        <f>'2014'!B12-'2013'!B12</f>
        <v>14915</v>
      </c>
      <c r="C12" s="101">
        <f>'2014'!C12-'2013'!C12</f>
        <v>-17744</v>
      </c>
      <c r="D12" s="101">
        <f>'2014'!D12-'2013'!D12</f>
        <v>-7739</v>
      </c>
      <c r="E12" s="101">
        <f>'2014'!E12-'2013'!E12</f>
        <v>-10568</v>
      </c>
      <c r="F12" s="156"/>
      <c r="G12" s="156"/>
      <c r="H12" s="156"/>
      <c r="I12" s="156"/>
      <c r="J12" s="161"/>
      <c r="K12" s="161"/>
      <c r="L12" s="161"/>
      <c r="M12" s="161"/>
      <c r="N12" s="166"/>
      <c r="O12" s="166"/>
      <c r="P12" s="40"/>
      <c r="Q12" s="85" t="s">
        <v>37</v>
      </c>
      <c r="R12" s="104">
        <f>B12/'2013'!B12*100</f>
        <v>15.751732004055425</v>
      </c>
      <c r="S12" s="104">
        <f>C12/'2013'!C12*100</f>
        <v>-7.7718550573559755</v>
      </c>
      <c r="T12" s="104">
        <f>D12/'2013'!D12*100</f>
        <v>-2.4386170561395546</v>
      </c>
      <c r="U12" s="104">
        <f>E12/'2013'!E12*100</f>
        <v>-1.6503448889749528</v>
      </c>
      <c r="V12" s="104"/>
      <c r="W12" s="104"/>
      <c r="X12" s="104"/>
      <c r="Y12" s="104"/>
      <c r="Z12" s="104"/>
      <c r="AA12" s="104"/>
      <c r="AB12" s="104"/>
      <c r="AC12" s="104"/>
      <c r="AD12" s="104"/>
      <c r="AE12" s="104"/>
    </row>
    <row r="13" spans="1:31" ht="16.5" customHeight="1" x14ac:dyDescent="0.3">
      <c r="A13" s="102" t="s">
        <v>14</v>
      </c>
      <c r="B13" s="101">
        <f>'2014'!B13-'2013'!B13</f>
        <v>-1399</v>
      </c>
      <c r="C13" s="101">
        <f>'2014'!C13-'2013'!C13</f>
        <v>76001</v>
      </c>
      <c r="D13" s="101">
        <f>'2014'!D13-'2013'!D13</f>
        <v>-28829</v>
      </c>
      <c r="E13" s="101">
        <f>'2014'!E13-'2013'!E13</f>
        <v>45773</v>
      </c>
      <c r="F13" s="156">
        <f>'2014'!F13-'2013'!F13</f>
        <v>256.73087857872451</v>
      </c>
      <c r="G13" s="156">
        <f>'2014'!G13-'2013'!G13</f>
        <v>754</v>
      </c>
      <c r="H13" s="156">
        <f>'2014'!H13-'2013'!H13</f>
        <v>1363.2438931023062</v>
      </c>
      <c r="I13" s="156">
        <f>'2014'!I13-'2013'!I13</f>
        <v>2373.9747716810089</v>
      </c>
      <c r="J13" s="161">
        <f>'2014'!J13-'2013'!J13</f>
        <v>-1142.2691214212682</v>
      </c>
      <c r="K13" s="161">
        <f>'2014'!K13-'2013'!K13</f>
        <v>76755</v>
      </c>
      <c r="L13" s="161">
        <f>'2014'!L13-'2013'!L13</f>
        <v>-27465.756106897723</v>
      </c>
      <c r="M13" s="161">
        <f>'2014'!M13-'2013'!M13</f>
        <v>48146.974771681009</v>
      </c>
      <c r="N13" s="166"/>
      <c r="O13" s="166"/>
      <c r="P13" s="40"/>
      <c r="Q13" s="84" t="s">
        <v>14</v>
      </c>
      <c r="R13" s="104">
        <f>B13/'2013'!B13*100</f>
        <v>-0.73742969643619571</v>
      </c>
      <c r="S13" s="167">
        <f>C13/'2013'!C13*100</f>
        <v>19.077657595694532</v>
      </c>
      <c r="T13" s="104">
        <f>D13/'2013'!D13*100</f>
        <v>-5.855090124397055</v>
      </c>
      <c r="U13" s="104">
        <f>E13/'2013'!E13*100</f>
        <v>4.2364167279828591</v>
      </c>
      <c r="V13" s="104">
        <f>F13/'2013'!F13*100</f>
        <v>0.57696221897818845</v>
      </c>
      <c r="W13" s="104">
        <f>G13/'2013'!G13*100</f>
        <v>0.59127052587004592</v>
      </c>
      <c r="X13" s="104">
        <f>H13/'2013'!H13*100</f>
        <v>0.56062504599852214</v>
      </c>
      <c r="Y13" s="104">
        <f>I13/'2013'!I13*100</f>
        <v>0.57178859774967461</v>
      </c>
      <c r="Z13" s="104">
        <f>J13/'2013'!J13*100</f>
        <v>-0.48771150737426594</v>
      </c>
      <c r="AA13" s="104">
        <f>K13/'2013'!K13*100</f>
        <v>14.595007786666262</v>
      </c>
      <c r="AB13" s="104">
        <f>L13/'2013'!L13*100</f>
        <v>-3.734094149454513</v>
      </c>
      <c r="AC13" s="104">
        <f>M13/'2013'!M13*100</f>
        <v>3.2191359584823047</v>
      </c>
      <c r="AD13" s="104"/>
      <c r="AE13" s="104"/>
    </row>
    <row r="14" spans="1:31" ht="16.5" customHeight="1" x14ac:dyDescent="0.3">
      <c r="A14" s="103" t="s">
        <v>15</v>
      </c>
      <c r="B14" s="101">
        <f>'2014'!B14-'2013'!B14</f>
        <v>3737</v>
      </c>
      <c r="C14" s="101">
        <f>'2014'!C14-'2013'!C14</f>
        <v>30524</v>
      </c>
      <c r="D14" s="101">
        <f>'2014'!D14-'2013'!D14</f>
        <v>-11364</v>
      </c>
      <c r="E14" s="101">
        <f>'2014'!E14-'2013'!E14</f>
        <v>22897</v>
      </c>
      <c r="F14" s="156"/>
      <c r="G14" s="156"/>
      <c r="H14" s="156"/>
      <c r="I14" s="156"/>
      <c r="J14" s="161"/>
      <c r="K14" s="161"/>
      <c r="L14" s="161"/>
      <c r="M14" s="161"/>
      <c r="N14" s="166"/>
      <c r="O14" s="166"/>
      <c r="P14" s="40"/>
      <c r="Q14" s="85" t="s">
        <v>15</v>
      </c>
      <c r="R14" s="104">
        <f>B14/'2013'!B14*100</f>
        <v>4.0132306667955371</v>
      </c>
      <c r="S14" s="167">
        <f>C14/'2013'!C14*100</f>
        <v>14.971698761023749</v>
      </c>
      <c r="T14" s="104">
        <f>D14/'2013'!D14*100</f>
        <v>-4.5234171622363926</v>
      </c>
      <c r="U14" s="104">
        <f>E14/'2013'!E14*100</f>
        <v>4.1766003126476363</v>
      </c>
      <c r="V14" s="104"/>
      <c r="W14" s="104"/>
      <c r="X14" s="104"/>
      <c r="Y14" s="104"/>
      <c r="Z14" s="104"/>
      <c r="AA14" s="104"/>
      <c r="AB14" s="104"/>
      <c r="AC14" s="104"/>
      <c r="AD14" s="104"/>
      <c r="AE14" s="104"/>
    </row>
    <row r="15" spans="1:31" ht="16.5" customHeight="1" x14ac:dyDescent="0.3">
      <c r="A15" s="103" t="s">
        <v>16</v>
      </c>
      <c r="B15" s="101">
        <f>'2014'!B15-'2013'!B15</f>
        <v>-5136</v>
      </c>
      <c r="C15" s="101">
        <f>'2014'!C15-'2013'!C15</f>
        <v>45477</v>
      </c>
      <c r="D15" s="101">
        <f>'2014'!D15-'2013'!D15</f>
        <v>-17465</v>
      </c>
      <c r="E15" s="101">
        <f>'2014'!E15-'2013'!E15</f>
        <v>22876</v>
      </c>
      <c r="F15" s="156"/>
      <c r="G15" s="156"/>
      <c r="H15" s="156"/>
      <c r="I15" s="156"/>
      <c r="J15" s="161"/>
      <c r="K15" s="161"/>
      <c r="L15" s="161"/>
      <c r="M15" s="161"/>
      <c r="N15" s="166"/>
      <c r="O15" s="166"/>
      <c r="P15" s="40"/>
      <c r="Q15" s="85" t="s">
        <v>16</v>
      </c>
      <c r="R15" s="104">
        <f>B15/'2013'!B15*100</f>
        <v>-5.3169903515673527</v>
      </c>
      <c r="S15" s="104">
        <f>C15/'2013'!C15*100</f>
        <v>23.381611216510109</v>
      </c>
      <c r="T15" s="104">
        <f>D15/'2013'!D15*100</f>
        <v>-7.2424102940505666</v>
      </c>
      <c r="U15" s="104">
        <f>E15/'2013'!E15*100</f>
        <v>4.2980287236680921</v>
      </c>
      <c r="V15" s="104"/>
      <c r="W15" s="104"/>
      <c r="X15" s="104"/>
      <c r="Y15" s="104"/>
      <c r="Z15" s="104"/>
      <c r="AA15" s="104"/>
      <c r="AB15" s="104"/>
      <c r="AC15" s="104"/>
      <c r="AD15" s="104"/>
      <c r="AE15" s="104"/>
    </row>
    <row r="16" spans="1:31" ht="16.5" customHeight="1" x14ac:dyDescent="0.3">
      <c r="A16" s="102" t="s">
        <v>17</v>
      </c>
      <c r="B16" s="101">
        <f>'2014'!B16-'2013'!B16</f>
        <v>-18317</v>
      </c>
      <c r="C16" s="101">
        <f>'2014'!C16-'2013'!C16</f>
        <v>86843</v>
      </c>
      <c r="D16" s="101">
        <f>'2014'!D16-'2013'!D16</f>
        <v>-40837</v>
      </c>
      <c r="E16" s="101">
        <f>'2014'!E16-'2013'!E16</f>
        <v>27689</v>
      </c>
      <c r="F16" s="156">
        <f>'2014'!F16-'2013'!F16</f>
        <v>684.6033873858687</v>
      </c>
      <c r="G16" s="156">
        <f>'2014'!G16-'2013'!G16</f>
        <v>1814.2080833776272</v>
      </c>
      <c r="H16" s="156">
        <f>'2014'!H16-'2013'!H16</f>
        <v>2314.8389678053209</v>
      </c>
      <c r="I16" s="156">
        <f>'2014'!I16-'2013'!I16</f>
        <v>4813.6504385687876</v>
      </c>
      <c r="J16" s="161">
        <f>'2014'!J16-'2013'!J16</f>
        <v>-17632</v>
      </c>
      <c r="K16" s="161">
        <f>'2014'!K16-'2013'!K16</f>
        <v>88657.208083377685</v>
      </c>
      <c r="L16" s="161">
        <f>'2014'!L16-'2013'!L16</f>
        <v>-38522.161032194737</v>
      </c>
      <c r="M16" s="161">
        <f>'2014'!M16-'2013'!M16</f>
        <v>32502.650438568788</v>
      </c>
      <c r="N16" s="166"/>
      <c r="O16" s="166"/>
      <c r="P16" s="40"/>
      <c r="Q16" s="84" t="s">
        <v>17</v>
      </c>
      <c r="R16" s="104">
        <f>B16/'2013'!B16*100</f>
        <v>-6.0913925035666425</v>
      </c>
      <c r="S16" s="167">
        <f>C16/'2013'!C16*100</f>
        <v>17.375932643575588</v>
      </c>
      <c r="T16" s="104">
        <f>D16/'2013'!D16*100</f>
        <v>-6.6911349057453942</v>
      </c>
      <c r="U16" s="104">
        <f>E16/'2013'!E16*100</f>
        <v>1.9626355695711746</v>
      </c>
      <c r="V16" s="104">
        <f>F16/'2013'!F16*100</f>
        <v>1.0642551143157131</v>
      </c>
      <c r="W16" s="104">
        <f>G16/'2013'!G16*100</f>
        <v>1.045912291448386</v>
      </c>
      <c r="X16" s="104">
        <f>H16/'2013'!H16*100</f>
        <v>0.80622700188259999</v>
      </c>
      <c r="Y16" s="104">
        <f>I16/'2013'!I16*100</f>
        <v>0.91705348760321648</v>
      </c>
      <c r="Z16" s="104">
        <f>J16/'2013'!J16*100</f>
        <v>-4.8302879215406955</v>
      </c>
      <c r="AA16" s="104">
        <f>K16/'2013'!K16*100</f>
        <v>13.168620100732523</v>
      </c>
      <c r="AB16" s="104">
        <f>L16/'2013'!L16*100</f>
        <v>-4.2924736646325066</v>
      </c>
      <c r="AC16" s="104">
        <f>M16/'2013'!M16*100</f>
        <v>1.6791065628375716</v>
      </c>
      <c r="AD16" s="104"/>
      <c r="AE16" s="104"/>
    </row>
    <row r="17" spans="1:31" ht="16.5" customHeight="1" x14ac:dyDescent="0.3">
      <c r="A17" s="103" t="s">
        <v>18</v>
      </c>
      <c r="B17" s="101">
        <f>'2014'!B17-'2013'!B17</f>
        <v>1752</v>
      </c>
      <c r="C17" s="101">
        <f>'2014'!C17-'2013'!C17</f>
        <v>34627</v>
      </c>
      <c r="D17" s="101">
        <f>'2014'!D17-'2013'!D17</f>
        <v>4183</v>
      </c>
      <c r="E17" s="101">
        <f>'2014'!E17-'2013'!E17</f>
        <v>40562</v>
      </c>
      <c r="F17" s="156"/>
      <c r="G17" s="156"/>
      <c r="H17" s="156"/>
      <c r="I17" s="156"/>
      <c r="J17" s="161"/>
      <c r="K17" s="161"/>
      <c r="L17" s="161"/>
      <c r="M17" s="161"/>
      <c r="N17" s="166"/>
      <c r="O17" s="166"/>
      <c r="P17" s="40"/>
      <c r="Q17" s="85" t="s">
        <v>18</v>
      </c>
      <c r="R17" s="104">
        <f>B17/'2013'!B17*100</f>
        <v>1.2754804892253933</v>
      </c>
      <c r="S17" s="167">
        <f>C17/'2013'!C17*100</f>
        <v>12.953486110175897</v>
      </c>
      <c r="T17" s="104">
        <f>D17/'2013'!D17*100</f>
        <v>1.5007247104745778</v>
      </c>
      <c r="U17" s="104">
        <f>E17/'2013'!E17*100</f>
        <v>5.9352365344375997</v>
      </c>
      <c r="V17" s="104"/>
      <c r="W17" s="104"/>
      <c r="X17" s="104"/>
      <c r="Y17" s="104"/>
      <c r="Z17" s="104"/>
      <c r="AA17" s="104"/>
      <c r="AB17" s="104"/>
      <c r="AC17" s="104"/>
      <c r="AD17" s="104"/>
      <c r="AE17" s="104"/>
    </row>
    <row r="18" spans="1:31" ht="16.5" customHeight="1" x14ac:dyDescent="0.3">
      <c r="A18" s="103" t="s">
        <v>19</v>
      </c>
      <c r="B18" s="101">
        <f>'2014'!B18-'2013'!B18</f>
        <v>-20069</v>
      </c>
      <c r="C18" s="101">
        <f>'2014'!C18-'2013'!C18</f>
        <v>52216</v>
      </c>
      <c r="D18" s="101">
        <f>'2014'!D18-'2013'!D18</f>
        <v>-45020</v>
      </c>
      <c r="E18" s="101">
        <f>'2014'!E18-'2013'!E18</f>
        <v>-12873</v>
      </c>
      <c r="F18" s="156"/>
      <c r="G18" s="156"/>
      <c r="H18" s="156"/>
      <c r="I18" s="156"/>
      <c r="J18" s="161"/>
      <c r="K18" s="161"/>
      <c r="L18" s="161"/>
      <c r="M18" s="161"/>
      <c r="N18" s="166"/>
      <c r="O18" s="166"/>
      <c r="P18" s="40"/>
      <c r="Q18" s="85" t="s">
        <v>19</v>
      </c>
      <c r="R18" s="104">
        <f>B18/'2013'!B18*100</f>
        <v>-12.286415701927845</v>
      </c>
      <c r="S18" s="167">
        <f>C18/'2013'!C18*100</f>
        <v>22.461296247704016</v>
      </c>
      <c r="T18" s="167">
        <f>D18/'2013'!D18*100</f>
        <v>-13.577294372751316</v>
      </c>
      <c r="U18" s="104">
        <f>E18/'2013'!E18*100</f>
        <v>-1.7697350965153829</v>
      </c>
      <c r="V18" s="104"/>
      <c r="W18" s="104"/>
      <c r="X18" s="104"/>
      <c r="Y18" s="104"/>
      <c r="Z18" s="104"/>
      <c r="AA18" s="104"/>
      <c r="AB18" s="104"/>
      <c r="AC18" s="104"/>
      <c r="AD18" s="104"/>
      <c r="AE18" s="104"/>
    </row>
    <row r="19" spans="1:31" ht="16.5" customHeight="1" x14ac:dyDescent="0.3">
      <c r="A19" s="102" t="s">
        <v>20</v>
      </c>
      <c r="B19" s="101">
        <f>'2014'!B19-'2013'!B19</f>
        <v>-30687</v>
      </c>
      <c r="C19" s="101">
        <f>'2014'!C19-'2013'!C19</f>
        <v>32552</v>
      </c>
      <c r="D19" s="101">
        <f>'2014'!D19-'2013'!D19</f>
        <v>-31911</v>
      </c>
      <c r="E19" s="101">
        <f>'2014'!E19-'2013'!E19</f>
        <v>-30046</v>
      </c>
      <c r="F19" s="156">
        <f>'2014'!F19-'2013'!F19</f>
        <v>1245.9076320391614</v>
      </c>
      <c r="G19" s="156">
        <f>'2014'!G19-'2013'!G19</f>
        <v>3124.3053982776473</v>
      </c>
      <c r="H19" s="156">
        <f>'2014'!H19-'2013'!H19</f>
        <v>4014.223113176995</v>
      </c>
      <c r="I19" s="156">
        <f>'2014'!I19-'2013'!I19</f>
        <v>8384.4361434937455</v>
      </c>
      <c r="J19" s="161">
        <f>'2014'!J19-'2013'!J19</f>
        <v>-29441.092367960839</v>
      </c>
      <c r="K19" s="161">
        <f>'2014'!K19-'2013'!K19</f>
        <v>35676.305398277706</v>
      </c>
      <c r="L19" s="161">
        <f>'2014'!L19-'2013'!L19</f>
        <v>-27896.776886823121</v>
      </c>
      <c r="M19" s="161">
        <f>'2014'!M19-'2013'!M19</f>
        <v>-21661.563856506255</v>
      </c>
      <c r="N19" s="166"/>
      <c r="O19" s="166"/>
      <c r="P19" s="40"/>
      <c r="Q19" s="84" t="s">
        <v>20</v>
      </c>
      <c r="R19" s="104">
        <f>B19/'2013'!B19*100</f>
        <v>-7.8201968874153618</v>
      </c>
      <c r="S19" s="104">
        <f>C19/'2013'!C19*100</f>
        <v>4.7970833167545708</v>
      </c>
      <c r="T19" s="104">
        <f>D19/'2013'!D19*100</f>
        <v>-3.9503785609237978</v>
      </c>
      <c r="U19" s="104">
        <f>E19/'2013'!E19*100</f>
        <v>-1.5992275846798618</v>
      </c>
      <c r="V19" s="104">
        <f>F19/'2013'!F19*100</f>
        <v>1.5933952732238097</v>
      </c>
      <c r="W19" s="104">
        <f>G19/'2013'!G19*100</f>
        <v>1.4805099764855292</v>
      </c>
      <c r="X19" s="104">
        <f>H19/'2013'!H19*100</f>
        <v>1.1455985414484409</v>
      </c>
      <c r="Y19" s="104">
        <f>I19/'2013'!I19*100</f>
        <v>1.3108362155159266</v>
      </c>
      <c r="Z19" s="104">
        <f>J19/'2013'!J19*100</f>
        <v>-6.2560890201553416</v>
      </c>
      <c r="AA19" s="104">
        <f>K19/'2013'!K19*100</f>
        <v>4.0103399922525096</v>
      </c>
      <c r="AB19" s="104">
        <f>L19/'2013'!L19*100</f>
        <v>-2.4086320917650768</v>
      </c>
      <c r="AC19" s="104">
        <f>M19/'2013'!M19*100</f>
        <v>-0.86012959209953965</v>
      </c>
      <c r="AD19" s="104"/>
      <c r="AE19" s="104"/>
    </row>
    <row r="20" spans="1:31" ht="16.5" customHeight="1" x14ac:dyDescent="0.3">
      <c r="A20" s="103" t="s">
        <v>21</v>
      </c>
      <c r="B20" s="101">
        <f>'2014'!B20-'2013'!B20</f>
        <v>-26200</v>
      </c>
      <c r="C20" s="101">
        <f>'2014'!C20-'2013'!C20</f>
        <v>7690</v>
      </c>
      <c r="D20" s="101">
        <f>'2014'!D20-'2013'!D20</f>
        <v>2757</v>
      </c>
      <c r="E20" s="101">
        <f>'2014'!E20-'2013'!E20</f>
        <v>-15753</v>
      </c>
      <c r="F20" s="156"/>
      <c r="G20" s="156"/>
      <c r="H20" s="156"/>
      <c r="I20" s="156"/>
      <c r="J20" s="161"/>
      <c r="K20" s="161"/>
      <c r="L20" s="161"/>
      <c r="M20" s="161"/>
      <c r="N20" s="166"/>
      <c r="O20" s="166"/>
      <c r="P20" s="40"/>
      <c r="Q20" s="85" t="s">
        <v>21</v>
      </c>
      <c r="R20" s="104">
        <f>B20/'2013'!B20*100</f>
        <v>-13.532009400098133</v>
      </c>
      <c r="S20" s="104">
        <f>C20/'2013'!C20*100</f>
        <v>2.4748571888325692</v>
      </c>
      <c r="T20" s="104">
        <f>D20/'2013'!D20*100</f>
        <v>0.71256881445297349</v>
      </c>
      <c r="U20" s="104">
        <f>E20/'2013'!E20*100</f>
        <v>-1.7675175315568021</v>
      </c>
      <c r="V20" s="104"/>
      <c r="W20" s="104"/>
      <c r="X20" s="104"/>
      <c r="Y20" s="104"/>
      <c r="Z20" s="104"/>
      <c r="AA20" s="104"/>
      <c r="AB20" s="104"/>
      <c r="AC20" s="104"/>
      <c r="AD20" s="104"/>
      <c r="AE20" s="104"/>
    </row>
    <row r="21" spans="1:31" ht="16.5" customHeight="1" x14ac:dyDescent="0.3">
      <c r="A21" s="103" t="s">
        <v>22</v>
      </c>
      <c r="B21" s="101">
        <f>'2014'!B21-'2013'!B21</f>
        <v>-4487</v>
      </c>
      <c r="C21" s="101">
        <f>'2014'!C21-'2013'!C21</f>
        <v>24862</v>
      </c>
      <c r="D21" s="101">
        <f>'2014'!D21-'2013'!D21</f>
        <v>-34668</v>
      </c>
      <c r="E21" s="101">
        <f>'2014'!E21-'2013'!E21</f>
        <v>-14293</v>
      </c>
      <c r="F21" s="156"/>
      <c r="G21" s="156"/>
      <c r="H21" s="156"/>
      <c r="I21" s="156"/>
      <c r="J21" s="161"/>
      <c r="K21" s="161"/>
      <c r="L21" s="161"/>
      <c r="M21" s="161"/>
      <c r="N21" s="166"/>
      <c r="O21" s="166"/>
      <c r="P21" s="40"/>
      <c r="Q21" s="85" t="s">
        <v>22</v>
      </c>
      <c r="R21" s="104">
        <f>B21/'2013'!B21*100</f>
        <v>-2.2571330838263108</v>
      </c>
      <c r="S21" s="104">
        <f>C21/'2013'!C21*100</f>
        <v>6.7586596856361494</v>
      </c>
      <c r="T21" s="104">
        <f>D21/'2013'!D21*100</f>
        <v>-8.2369097570363472</v>
      </c>
      <c r="U21" s="104">
        <f>E21/'2013'!E21*100</f>
        <v>-1.4473455037406384</v>
      </c>
      <c r="V21" s="104"/>
      <c r="W21" s="104"/>
      <c r="X21" s="104"/>
      <c r="Y21" s="104"/>
      <c r="Z21" s="104"/>
      <c r="AA21" s="104"/>
      <c r="AB21" s="104"/>
      <c r="AC21" s="104"/>
      <c r="AD21" s="104"/>
      <c r="AE21" s="104"/>
    </row>
    <row r="22" spans="1:31" ht="16.5" customHeight="1" x14ac:dyDescent="0.3">
      <c r="A22" s="102" t="s">
        <v>23</v>
      </c>
      <c r="B22" s="101">
        <f>'2014'!B22-'2013'!B22</f>
        <v>-8378</v>
      </c>
      <c r="C22" s="101">
        <f>'2014'!C22-'2013'!C22</f>
        <v>76312</v>
      </c>
      <c r="D22" s="101">
        <f>'2014'!D22-'2013'!D22</f>
        <v>15810</v>
      </c>
      <c r="E22" s="101">
        <f>'2014'!E22-'2013'!E22</f>
        <v>83744</v>
      </c>
      <c r="F22" s="156">
        <f>'2014'!F22-'2013'!F22</f>
        <v>1634.2401122851588</v>
      </c>
      <c r="G22" s="156">
        <f>'2014'!G22-'2013'!G22</f>
        <v>3701.9756787138176</v>
      </c>
      <c r="H22" s="156">
        <f>'2014'!H22-'2013'!H22</f>
        <v>4747.6434262102703</v>
      </c>
      <c r="I22" s="156">
        <f>'2014'!I22-'2013'!I22</f>
        <v>10083.859217209276</v>
      </c>
      <c r="J22" s="161">
        <f>'2014'!J22-'2013'!J22</f>
        <v>-6744</v>
      </c>
      <c r="K22" s="161">
        <f>'2014'!K22-'2013'!K22</f>
        <v>80013.975678713759</v>
      </c>
      <c r="L22" s="161">
        <f>'2014'!L22-'2013'!L22</f>
        <v>20557.64342621027</v>
      </c>
      <c r="M22" s="161">
        <f>'2014'!M22-'2013'!M22</f>
        <v>93827.859217209276</v>
      </c>
      <c r="N22" s="166"/>
      <c r="O22" s="166"/>
      <c r="P22" s="40"/>
      <c r="Q22" s="84" t="s">
        <v>23</v>
      </c>
      <c r="R22" s="104">
        <f>B22/'2013'!B22*100</f>
        <v>-2.3254652040680375</v>
      </c>
      <c r="S22" s="167">
        <f>C22/'2013'!C22*100</f>
        <v>13.918613537416579</v>
      </c>
      <c r="T22" s="104">
        <f>D22/'2013'!D22*100</f>
        <v>3.0990216813907767</v>
      </c>
      <c r="U22" s="104">
        <f>E22/'2013'!E22*100</f>
        <v>5.9028438591223269</v>
      </c>
      <c r="V22" s="104">
        <f>F22/'2013'!F22*100</f>
        <v>2.1418892938113983</v>
      </c>
      <c r="W22" s="104">
        <f>G22/'2013'!G22*100</f>
        <v>2.0824641409434812</v>
      </c>
      <c r="X22" s="104">
        <f>H22/'2013'!H22*100</f>
        <v>2.036155813734478</v>
      </c>
      <c r="Y22" s="104">
        <f>I22/'2013'!I22*100</f>
        <v>2.0696089601956498</v>
      </c>
      <c r="Z22" s="104">
        <f>J22/'2013'!J22*100</f>
        <v>-1.5447659143644448</v>
      </c>
      <c r="AA22" s="104">
        <f>K22/'2013'!K22*100</f>
        <v>11.020571217465898</v>
      </c>
      <c r="AB22" s="104">
        <f>L22/'2013'!L22*100</f>
        <v>2.7656220976756249</v>
      </c>
      <c r="AC22" s="104">
        <f>M22/'2013'!M22*100</f>
        <v>4.9229152013209889</v>
      </c>
      <c r="AD22" s="104"/>
      <c r="AE22" s="104"/>
    </row>
    <row r="23" spans="1:31" ht="16.5" customHeight="1" x14ac:dyDescent="0.3">
      <c r="A23" s="103" t="s">
        <v>24</v>
      </c>
      <c r="B23" s="101">
        <f>'2014'!B23-'2013'!B23</f>
        <v>-15549</v>
      </c>
      <c r="C23" s="101">
        <f>'2014'!C23-'2013'!C23</f>
        <v>29014</v>
      </c>
      <c r="D23" s="101">
        <f>'2014'!D23-'2013'!D23</f>
        <v>-15540</v>
      </c>
      <c r="E23" s="101">
        <f>'2014'!E23-'2013'!E23</f>
        <v>-2075</v>
      </c>
      <c r="F23" s="156"/>
      <c r="G23" s="156"/>
      <c r="H23" s="156"/>
      <c r="I23" s="156"/>
      <c r="J23" s="161"/>
      <c r="K23" s="161"/>
      <c r="L23" s="161"/>
      <c r="M23" s="161"/>
      <c r="N23" s="166"/>
      <c r="O23" s="166"/>
      <c r="P23" s="40"/>
      <c r="Q23" s="85" t="s">
        <v>24</v>
      </c>
      <c r="R23" s="104">
        <f>B23/'2013'!B23*100</f>
        <v>-9.2628004646591009</v>
      </c>
      <c r="S23" s="104">
        <f>C23/'2013'!C23*100</f>
        <v>10.746403543861209</v>
      </c>
      <c r="T23" s="104">
        <f>D23/'2013'!D23*100</f>
        <v>-5.9736375762561362</v>
      </c>
      <c r="U23" s="104">
        <f>E23/'2013'!E23*100</f>
        <v>-0.29727964057100614</v>
      </c>
      <c r="V23" s="104"/>
      <c r="W23" s="104"/>
      <c r="X23" s="104"/>
      <c r="Y23" s="104"/>
      <c r="Z23" s="104"/>
      <c r="AA23" s="104"/>
      <c r="AB23" s="104"/>
      <c r="AC23" s="104"/>
      <c r="AD23" s="104"/>
      <c r="AE23" s="104"/>
    </row>
    <row r="24" spans="1:31" ht="16.5" customHeight="1" x14ac:dyDescent="0.3">
      <c r="A24" s="103" t="s">
        <v>25</v>
      </c>
      <c r="B24" s="101">
        <f>'2014'!B24-'2013'!B24</f>
        <v>7171</v>
      </c>
      <c r="C24" s="101">
        <f>'2014'!C24-'2013'!C24</f>
        <v>47298</v>
      </c>
      <c r="D24" s="101">
        <f>'2014'!D24-'2013'!D24</f>
        <v>31350</v>
      </c>
      <c r="E24" s="101">
        <f>'2014'!E24-'2013'!E24</f>
        <v>85819</v>
      </c>
      <c r="F24" s="156"/>
      <c r="G24" s="156"/>
      <c r="H24" s="156"/>
      <c r="I24" s="156"/>
      <c r="J24" s="161"/>
      <c r="K24" s="161"/>
      <c r="L24" s="161"/>
      <c r="M24" s="161"/>
      <c r="N24" s="166"/>
      <c r="O24" s="166"/>
      <c r="P24" s="40"/>
      <c r="Q24" s="85" t="s">
        <v>25</v>
      </c>
      <c r="R24" s="104">
        <f>B24/'2013'!B24*100</f>
        <v>3.7269953795859818</v>
      </c>
      <c r="S24" s="167">
        <f>C24/'2013'!C24*100</f>
        <v>16.996244856891316</v>
      </c>
      <c r="T24" s="167">
        <f>D24/'2013'!D24*100</f>
        <v>12.539097185002678</v>
      </c>
      <c r="U24" s="167">
        <f>E24/'2013'!E24*100</f>
        <v>11.907563375005203</v>
      </c>
      <c r="V24" s="104"/>
      <c r="W24" s="104"/>
      <c r="X24" s="104"/>
      <c r="Y24" s="104"/>
      <c r="Z24" s="104"/>
      <c r="AA24" s="104"/>
      <c r="AB24" s="104"/>
      <c r="AC24" s="104"/>
      <c r="AD24" s="104"/>
      <c r="AE24" s="104"/>
    </row>
    <row r="25" spans="1:31" ht="16.5" customHeight="1" x14ac:dyDescent="0.3">
      <c r="A25" s="102" t="s">
        <v>26</v>
      </c>
      <c r="B25" s="101">
        <f>'2014'!B25-'2013'!B25</f>
        <v>38895</v>
      </c>
      <c r="C25" s="101">
        <f>'2014'!C25-'2013'!C25</f>
        <v>32290</v>
      </c>
      <c r="D25" s="101">
        <f>'2014'!D25-'2013'!D25</f>
        <v>6320</v>
      </c>
      <c r="E25" s="101">
        <f>'2014'!E25-'2013'!E25</f>
        <v>77505</v>
      </c>
      <c r="F25" s="156">
        <f>'2014'!F25-'2013'!F25</f>
        <v>3368</v>
      </c>
      <c r="G25" s="156">
        <f>'2014'!G25-'2013'!G25</f>
        <v>8367.1282680482254</v>
      </c>
      <c r="H25" s="156">
        <f>'2014'!H25-'2013'!H25</f>
        <v>9693.2026386373327</v>
      </c>
      <c r="I25" s="156">
        <f>'2014'!I25-'2013'!I25</f>
        <v>21428.330906685558</v>
      </c>
      <c r="J25" s="161">
        <f>'2014'!J25-'2013'!J25</f>
        <v>42263</v>
      </c>
      <c r="K25" s="161">
        <f>'2014'!K25-'2013'!K25</f>
        <v>40657.128268048167</v>
      </c>
      <c r="L25" s="161">
        <f>'2014'!L25-'2013'!L25</f>
        <v>16013.202638637275</v>
      </c>
      <c r="M25" s="161">
        <f>'2014'!M25-'2013'!M25</f>
        <v>98933.330906685442</v>
      </c>
      <c r="N25" s="166"/>
      <c r="O25" s="166"/>
      <c r="P25" s="40"/>
      <c r="Q25" s="84" t="s">
        <v>26</v>
      </c>
      <c r="R25" s="104">
        <f>B25/'2013'!B25*100</f>
        <v>7.3284608819024042</v>
      </c>
      <c r="S25" s="104">
        <f>C25/'2013'!C25*100</f>
        <v>4.0308989816019238</v>
      </c>
      <c r="T25" s="104">
        <f>D25/'2013'!D25*100</f>
        <v>1.1739923541890351</v>
      </c>
      <c r="U25" s="104">
        <f>E25/'2013'!E25*100</f>
        <v>4.144353215142222</v>
      </c>
      <c r="V25" s="104">
        <f>F25/'2013'!F25*100</f>
        <v>3.5283641506469019</v>
      </c>
      <c r="W25" s="104">
        <f>G25/'2013'!G25*100</f>
        <v>3.5927845985599136</v>
      </c>
      <c r="X25" s="104">
        <f>H25/'2013'!H25*100</f>
        <v>3.4466191050417558</v>
      </c>
      <c r="Y25" s="104">
        <f>I25/'2013'!I25*100</f>
        <v>3.5152614762107612</v>
      </c>
      <c r="Z25" s="104">
        <f>J25/'2013'!J25*100</f>
        <v>6.7491863543885753</v>
      </c>
      <c r="AA25" s="104">
        <f>K25/'2013'!K25*100</f>
        <v>3.932217959304392</v>
      </c>
      <c r="AB25" s="104">
        <f>L25/'2013'!L25*100</f>
        <v>1.9538494041569592</v>
      </c>
      <c r="AC25" s="104">
        <f>M25/'2013'!M25*100</f>
        <v>3.9897057083852556</v>
      </c>
      <c r="AD25" s="104"/>
      <c r="AE25" s="104"/>
    </row>
    <row r="26" spans="1:31" ht="16.5" customHeight="1" x14ac:dyDescent="0.3">
      <c r="A26" s="103" t="s">
        <v>27</v>
      </c>
      <c r="B26" s="101">
        <f>'2014'!B26-'2013'!B26</f>
        <v>5461</v>
      </c>
      <c r="C26" s="101">
        <f>'2014'!C26-'2013'!C26</f>
        <v>18547</v>
      </c>
      <c r="D26" s="101">
        <f>'2014'!D26-'2013'!D26</f>
        <v>20613</v>
      </c>
      <c r="E26" s="101">
        <f>'2014'!E26-'2013'!E26</f>
        <v>44621</v>
      </c>
      <c r="F26" s="156"/>
      <c r="G26" s="156"/>
      <c r="H26" s="156"/>
      <c r="I26" s="156"/>
      <c r="J26" s="161"/>
      <c r="K26" s="161"/>
      <c r="L26" s="161"/>
      <c r="M26" s="161"/>
      <c r="N26" s="166"/>
      <c r="O26" s="166"/>
      <c r="P26" s="40"/>
      <c r="Q26" s="85" t="s">
        <v>27</v>
      </c>
      <c r="R26" s="104">
        <f>B26/'2013'!B26*100</f>
        <v>2.206518137813442</v>
      </c>
      <c r="S26" s="104">
        <f>C26/'2013'!C26*100</f>
        <v>5.0404935319056419</v>
      </c>
      <c r="T26" s="104">
        <f>D26/'2013'!D26*100</f>
        <v>8.0722282921556872</v>
      </c>
      <c r="U26" s="104">
        <f>E26/'2013'!E26*100</f>
        <v>5.1240739953905035</v>
      </c>
      <c r="V26" s="104"/>
      <c r="W26" s="104"/>
      <c r="X26" s="104"/>
      <c r="Y26" s="104"/>
      <c r="Z26" s="104"/>
      <c r="AA26" s="104"/>
      <c r="AB26" s="104"/>
      <c r="AC26" s="104"/>
      <c r="AD26" s="104"/>
      <c r="AE26" s="104"/>
    </row>
    <row r="27" spans="1:31" ht="16.5" customHeight="1" x14ac:dyDescent="0.3">
      <c r="A27" s="103" t="s">
        <v>28</v>
      </c>
      <c r="B27" s="101">
        <f>'2014'!B27-'2013'!B27</f>
        <v>33434</v>
      </c>
      <c r="C27" s="101">
        <f>'2014'!C27-'2013'!C27</f>
        <v>13743</v>
      </c>
      <c r="D27" s="101">
        <f>'2014'!D27-'2013'!D27</f>
        <v>-14293</v>
      </c>
      <c r="E27" s="101">
        <f>'2014'!E27-'2013'!E27</f>
        <v>32884</v>
      </c>
      <c r="F27" s="156"/>
      <c r="G27" s="156"/>
      <c r="H27" s="156"/>
      <c r="I27" s="156"/>
      <c r="J27" s="161"/>
      <c r="K27" s="161"/>
      <c r="L27" s="161"/>
      <c r="M27" s="161"/>
      <c r="N27" s="166"/>
      <c r="O27" s="166"/>
      <c r="P27" s="40"/>
      <c r="Q27" s="85" t="s">
        <v>28</v>
      </c>
      <c r="R27" s="104">
        <f>B27/'2013'!B27*100</f>
        <v>11.803915338311356</v>
      </c>
      <c r="S27" s="104">
        <f>C27/'2013'!C27*100</f>
        <v>3.1731555153289528</v>
      </c>
      <c r="T27" s="104">
        <f>D27/'2013'!D27*100</f>
        <v>-5.0509405358032629</v>
      </c>
      <c r="U27" s="104">
        <f>E27/'2013'!E27*100</f>
        <v>3.2906244621364045</v>
      </c>
      <c r="V27" s="104"/>
      <c r="W27" s="104"/>
      <c r="X27" s="104"/>
      <c r="Y27" s="104"/>
      <c r="Z27" s="104"/>
      <c r="AA27" s="104"/>
      <c r="AB27" s="104"/>
      <c r="AC27" s="104"/>
      <c r="AD27" s="104"/>
      <c r="AE27" s="104"/>
    </row>
    <row r="28" spans="1:31" ht="15.6" x14ac:dyDescent="0.3">
      <c r="A28" s="102" t="s">
        <v>29</v>
      </c>
      <c r="B28" s="101">
        <f>'2014'!B28-'2013'!B28</f>
        <v>-7893</v>
      </c>
      <c r="C28" s="101">
        <f>'2014'!C28-'2013'!C28</f>
        <v>49955</v>
      </c>
      <c r="D28" s="101">
        <f>'2014'!D28-'2013'!D28</f>
        <v>-32710</v>
      </c>
      <c r="E28" s="101">
        <f>'2014'!E28-'2013'!E28</f>
        <v>9352</v>
      </c>
      <c r="F28" s="156">
        <f>'2014'!F28-'2013'!F28</f>
        <v>1546.4779830000771</v>
      </c>
      <c r="G28" s="156">
        <f>'2014'!G28-'2013'!G28</f>
        <v>3807.5624989995267</v>
      </c>
      <c r="H28" s="156">
        <f>'2014'!H28-'2013'!H28</f>
        <v>6366.178822998947</v>
      </c>
      <c r="I28" s="156">
        <f>'2014'!I28-'2013'!I28</f>
        <v>11720.219304998638</v>
      </c>
      <c r="J28" s="161">
        <f>'2014'!J28-'2013'!J28</f>
        <v>-6347</v>
      </c>
      <c r="K28" s="161">
        <f>'2014'!K28-'2013'!K28</f>
        <v>53763</v>
      </c>
      <c r="L28" s="161">
        <f>'2014'!L28-'2013'!L28</f>
        <v>-26344</v>
      </c>
      <c r="M28" s="161">
        <f>'2014'!M28-'2013'!M28</f>
        <v>21072</v>
      </c>
      <c r="N28" s="166"/>
      <c r="O28" s="166"/>
      <c r="P28" s="39"/>
      <c r="Q28" s="84" t="s">
        <v>29</v>
      </c>
      <c r="R28" s="104">
        <f>B28/'2013'!B28*100</f>
        <v>-1.4663644639307412</v>
      </c>
      <c r="S28" s="104">
        <f>C28/'2013'!C28*100</f>
        <v>5.6973899555773517</v>
      </c>
      <c r="T28" s="104">
        <f>D28/'2013'!D28*100</f>
        <v>-3.4111647599879031</v>
      </c>
      <c r="U28" s="104">
        <f>E28/'2013'!E28*100</f>
        <v>0.39393677719109432</v>
      </c>
      <c r="V28" s="104">
        <f>F28/'2013'!F28*100</f>
        <v>1.4122957625958457</v>
      </c>
      <c r="W28" s="104">
        <f>G28/'2013'!G28*100</f>
        <v>1.3967324513488479</v>
      </c>
      <c r="X28" s="104">
        <f>H28/'2013'!H28*100</f>
        <v>1.4691905193022456</v>
      </c>
      <c r="Y28" s="104">
        <f>I28/'2013'!I28*100</f>
        <v>1.4373265374321682</v>
      </c>
      <c r="Z28" s="104">
        <f>J28/'2013'!J28*100</f>
        <v>-0.97982157274715909</v>
      </c>
      <c r="AA28" s="104">
        <f>K28/'2013'!K28*100</f>
        <v>4.677443209994693</v>
      </c>
      <c r="AB28" s="104">
        <f>L28/'2013'!L28*100</f>
        <v>-1.8922269580569764</v>
      </c>
      <c r="AC28" s="104">
        <f>M28/'2013'!M28*100</f>
        <v>0.66068790930465671</v>
      </c>
      <c r="AD28" s="104"/>
      <c r="AE28" s="104"/>
    </row>
    <row r="29" spans="1:31" ht="15.6" x14ac:dyDescent="0.3">
      <c r="A29" s="102" t="s">
        <v>30</v>
      </c>
      <c r="B29" s="101">
        <f>'2014'!B29-'2013'!B29</f>
        <v>-7893</v>
      </c>
      <c r="C29" s="101">
        <f>'2014'!C29-'2013'!C29</f>
        <v>49955</v>
      </c>
      <c r="D29" s="101">
        <f>'2014'!D29-'2013'!D29</f>
        <v>-32710</v>
      </c>
      <c r="E29" s="101">
        <f>'2014'!E29-'2013'!E29</f>
        <v>9352</v>
      </c>
      <c r="F29" s="156">
        <f>'2014'!F29-'2013'!F29</f>
        <v>1546.4779830000771</v>
      </c>
      <c r="G29" s="156">
        <f>'2014'!G29-'2013'!G29</f>
        <v>3807.5624989995267</v>
      </c>
      <c r="H29" s="156">
        <f>'2014'!H29-'2013'!H29</f>
        <v>6366.178822998947</v>
      </c>
      <c r="I29" s="156">
        <f>'2014'!I29-'2013'!I29</f>
        <v>11720.219304998638</v>
      </c>
      <c r="J29" s="161">
        <f>'2014'!J29-'2013'!J29</f>
        <v>-6347</v>
      </c>
      <c r="K29" s="161">
        <f>'2014'!K29-'2013'!K29</f>
        <v>53763</v>
      </c>
      <c r="L29" s="161">
        <f>'2014'!L29-'2013'!L29</f>
        <v>-26344</v>
      </c>
      <c r="M29" s="161">
        <f>'2014'!M29-'2013'!M29</f>
        <v>21072</v>
      </c>
      <c r="N29" s="166"/>
      <c r="O29" s="166"/>
      <c r="P29" s="39"/>
      <c r="Q29" s="84" t="s">
        <v>30</v>
      </c>
      <c r="R29" s="104">
        <f>B29/'2013'!B29*100</f>
        <v>-1.4663644639307412</v>
      </c>
      <c r="S29" s="104">
        <f>C29/'2013'!C29*100</f>
        <v>5.6973899555773517</v>
      </c>
      <c r="T29" s="104">
        <f>D29/'2013'!D29*100</f>
        <v>-3.4111647599879031</v>
      </c>
      <c r="U29" s="104">
        <f>E29/'2013'!E29*100</f>
        <v>0.39393677719109432</v>
      </c>
      <c r="V29" s="104">
        <f>F29/'2013'!F29*100</f>
        <v>1.4122957625958457</v>
      </c>
      <c r="W29" s="104">
        <f>G29/'2013'!G29*100</f>
        <v>1.3967324513488479</v>
      </c>
      <c r="X29" s="104">
        <f>H29/'2013'!H29*100</f>
        <v>1.4691905193022456</v>
      </c>
      <c r="Y29" s="104">
        <f>I29/'2013'!I29*100</f>
        <v>1.4373265374321682</v>
      </c>
      <c r="Z29" s="104">
        <f>J29/'2013'!J29*100</f>
        <v>-0.97982157274715909</v>
      </c>
      <c r="AA29" s="104">
        <f>K29/'2013'!K29*100</f>
        <v>4.677443209994693</v>
      </c>
      <c r="AB29" s="104">
        <f>L29/'2013'!L29*100</f>
        <v>-1.8922269580569764</v>
      </c>
      <c r="AC29" s="104">
        <f>M29/'2013'!M29*100</f>
        <v>0.66068790930465671</v>
      </c>
      <c r="AD29" s="104"/>
      <c r="AE29" s="104"/>
    </row>
    <row r="30" spans="1:31" ht="10.5" customHeight="1" thickBot="1" x14ac:dyDescent="0.35">
      <c r="A30" s="94"/>
      <c r="B30" s="101"/>
      <c r="C30" s="101"/>
      <c r="D30" s="101"/>
      <c r="E30" s="101"/>
      <c r="F30" s="156"/>
      <c r="G30" s="156"/>
      <c r="H30" s="156"/>
      <c r="I30" s="156"/>
      <c r="J30" s="161"/>
      <c r="K30" s="161"/>
      <c r="L30" s="161"/>
      <c r="M30" s="161"/>
      <c r="N30" s="166"/>
      <c r="O30" s="166"/>
      <c r="P30" s="40"/>
      <c r="Q30" s="94"/>
      <c r="R30" s="104"/>
      <c r="S30" s="104"/>
      <c r="T30" s="104"/>
      <c r="U30" s="104"/>
      <c r="V30" s="104"/>
      <c r="W30" s="104"/>
      <c r="X30" s="104"/>
      <c r="Y30" s="104"/>
      <c r="Z30" s="104"/>
      <c r="AA30" s="104"/>
      <c r="AB30" s="104"/>
      <c r="AC30" s="104"/>
      <c r="AD30" s="104"/>
      <c r="AE30" s="104"/>
    </row>
    <row r="31" spans="1:31" ht="16.2" thickBot="1" x14ac:dyDescent="0.35">
      <c r="A31" s="86" t="s">
        <v>31</v>
      </c>
      <c r="B31" s="101">
        <f>'2014'!B31-'2013'!B31</f>
        <v>16049</v>
      </c>
      <c r="C31" s="101">
        <f>'2014'!C31-'2013'!C31</f>
        <v>138119</v>
      </c>
      <c r="D31" s="101">
        <f>'2014'!D31-'2013'!D31</f>
        <v>-62631</v>
      </c>
      <c r="E31" s="101">
        <f>'2014'!E31-'2013'!E31</f>
        <v>91537</v>
      </c>
      <c r="F31" s="156">
        <f>'2014'!F31-'2013'!F31</f>
        <v>3680</v>
      </c>
      <c r="G31" s="156">
        <f>'2014'!G31-'2013'!G31</f>
        <v>9330</v>
      </c>
      <c r="H31" s="156">
        <f>'2014'!H31-'2013'!H31</f>
        <v>10881.642356293043</v>
      </c>
      <c r="I31" s="156">
        <f>'2014'!I31-'2013'!I31</f>
        <v>23891.642356293043</v>
      </c>
      <c r="J31" s="161">
        <f>'2014'!J31-'2013'!J31</f>
        <v>19729</v>
      </c>
      <c r="K31" s="161">
        <f>'2014'!K31-'2013'!K31</f>
        <v>147449</v>
      </c>
      <c r="L31" s="161">
        <f>'2014'!L31-'2013'!L31</f>
        <v>-51749.357643706957</v>
      </c>
      <c r="M31" s="161">
        <f>'2014'!M31-'2013'!M31</f>
        <v>115428.64235629328</v>
      </c>
      <c r="N31" s="166"/>
      <c r="O31" s="166"/>
      <c r="P31" s="40"/>
      <c r="Q31" s="86" t="s">
        <v>31</v>
      </c>
      <c r="R31" s="104">
        <f>B31/'2013'!B31*100</f>
        <v>1.9156420426671694</v>
      </c>
      <c r="S31" s="104">
        <f>C31/'2013'!C31*100</f>
        <v>10.529674196774902</v>
      </c>
      <c r="T31" s="104">
        <f>D31/'2013'!D31*100</f>
        <v>-4.87224846436773</v>
      </c>
      <c r="U31" s="104">
        <f>E31/'2013'!E31*100</f>
        <v>2.6648613100053771</v>
      </c>
      <c r="V31" s="104">
        <f>F31/'2013'!F31*100</f>
        <v>2.2749330811124917</v>
      </c>
      <c r="W31" s="104">
        <f>G31/'2013'!G31*100</f>
        <v>2.2032569474618855</v>
      </c>
      <c r="X31" s="104">
        <f>H31/'2013'!H31*100</f>
        <v>1.8170230627401251</v>
      </c>
      <c r="Y31" s="104">
        <f>I31/'2013'!I31*100</f>
        <v>2.0177064887558425</v>
      </c>
      <c r="Z31" s="104">
        <f>J31/'2013'!J31*100</f>
        <v>1.9737882046921114</v>
      </c>
      <c r="AA31" s="104">
        <f>K31/'2013'!K31*100</f>
        <v>8.4976394325417139</v>
      </c>
      <c r="AB31" s="104">
        <f>L31/'2013'!L31*100</f>
        <v>-2.7462914068248421</v>
      </c>
      <c r="AC31" s="104">
        <f>M31/'2013'!M31*100</f>
        <v>2.4989628274375462</v>
      </c>
      <c r="AD31" s="104"/>
      <c r="AE31" s="104"/>
    </row>
    <row r="32" spans="1:31" ht="16.2" thickBot="1" x14ac:dyDescent="0.35">
      <c r="A32" s="86" t="s">
        <v>32</v>
      </c>
      <c r="B32" s="101">
        <f>'2014'!B32-'2013'!B32</f>
        <v>-34536</v>
      </c>
      <c r="C32" s="101">
        <f>'2014'!C32-'2013'!C32</f>
        <v>89878</v>
      </c>
      <c r="D32" s="101">
        <f>'2014'!D32-'2013'!D32</f>
        <v>12013</v>
      </c>
      <c r="E32" s="101">
        <f>'2014'!E32-'2013'!E32</f>
        <v>67355</v>
      </c>
      <c r="F32" s="156">
        <f>'2014'!F32-'2013'!F32</f>
        <v>3252.5235318191117</v>
      </c>
      <c r="G32" s="156">
        <f>'2014'!G32-'2013'!G32</f>
        <v>7677.0580411036499</v>
      </c>
      <c r="H32" s="156">
        <f>'2014'!H32-'2013'!H32</f>
        <v>9888.2657895369921</v>
      </c>
      <c r="I32" s="156">
        <f>'2014'!I32-'2013'!I32</f>
        <v>20817.847362459637</v>
      </c>
      <c r="J32" s="161">
        <f>'2014'!J32-'2013'!J32</f>
        <v>-31283.476468180888</v>
      </c>
      <c r="K32" s="161">
        <f>'2014'!K32-'2013'!K32</f>
        <v>97555.05804110365</v>
      </c>
      <c r="L32" s="161">
        <f>'2014'!L32-'2013'!L32</f>
        <v>21901.265789536992</v>
      </c>
      <c r="M32" s="161">
        <f>'2014'!M32-'2013'!M32</f>
        <v>88172.847362459637</v>
      </c>
      <c r="N32" s="166"/>
      <c r="O32" s="166"/>
      <c r="P32" s="40"/>
      <c r="Q32" s="86" t="s">
        <v>32</v>
      </c>
      <c r="R32" s="104">
        <f>B32/'2013'!B32*100</f>
        <v>-4.6274188232078401</v>
      </c>
      <c r="S32" s="104">
        <f>C32/'2013'!C32*100</f>
        <v>7.3913376003605284</v>
      </c>
      <c r="T32" s="104">
        <f>D32/'2013'!D32*100</f>
        <v>1.0170665339137885</v>
      </c>
      <c r="U32" s="104">
        <f>E32/'2013'!E32*100</f>
        <v>2.1426978555842959</v>
      </c>
      <c r="V32" s="104">
        <f>F32/'2013'!F32*100</f>
        <v>2.132662469227665</v>
      </c>
      <c r="W32" s="104">
        <f>G32/'2013'!G32*100</f>
        <v>2.065513170298928</v>
      </c>
      <c r="X32" s="104">
        <f>H32/'2013'!H32*100</f>
        <v>1.7879288734320316</v>
      </c>
      <c r="Y32" s="104">
        <f>I32/'2013'!I32*100</f>
        <v>1.9325081446151651</v>
      </c>
      <c r="Z32" s="104">
        <f>J32/'2013'!J32*100</f>
        <v>-3.480412225945869</v>
      </c>
      <c r="AA32" s="104">
        <f>K32/'2013'!K32*100</f>
        <v>6.1445463784393128</v>
      </c>
      <c r="AB32" s="104">
        <f>L32/'2013'!L32*100</f>
        <v>1.2629038414586211</v>
      </c>
      <c r="AC32" s="104">
        <f>M32/'2013'!M32*100</f>
        <v>2.0890515003738619</v>
      </c>
      <c r="AD32" s="104"/>
      <c r="AE32" s="104"/>
    </row>
    <row r="33" spans="1:31" ht="16.2" thickBot="1" x14ac:dyDescent="0.35">
      <c r="A33" s="86" t="s">
        <v>33</v>
      </c>
      <c r="B33" s="101">
        <f>'2014'!B33-'2013'!B33</f>
        <v>-18487</v>
      </c>
      <c r="C33" s="101">
        <f>'2014'!C33-'2013'!C33</f>
        <v>227997</v>
      </c>
      <c r="D33" s="101">
        <f>'2014'!D33-'2013'!D33</f>
        <v>-50618</v>
      </c>
      <c r="E33" s="101">
        <f>'2014'!E33-'2013'!E33</f>
        <v>158892</v>
      </c>
      <c r="F33" s="156">
        <f>'2014'!F33-'2013'!F33</f>
        <v>6932.5235318191117</v>
      </c>
      <c r="G33" s="156">
        <f>'2014'!G33-'2013'!G33</f>
        <v>17007.05804110365</v>
      </c>
      <c r="H33" s="156">
        <f>'2014'!H33-'2013'!H33</f>
        <v>20769.908145830035</v>
      </c>
      <c r="I33" s="156">
        <f>'2014'!I33-'2013'!I33</f>
        <v>44710</v>
      </c>
      <c r="J33" s="161">
        <f>'2014'!J33-'2013'!J33</f>
        <v>-11554</v>
      </c>
      <c r="K33" s="161">
        <f>'2014'!K33-'2013'!K33</f>
        <v>245004.05804110365</v>
      </c>
      <c r="L33" s="161">
        <f>'2014'!L33-'2013'!L33</f>
        <v>-29848.091854169965</v>
      </c>
      <c r="M33" s="161">
        <f>'2014'!M33-'2013'!M33</f>
        <v>203602</v>
      </c>
      <c r="N33" s="166"/>
      <c r="O33" s="166"/>
      <c r="P33" s="39"/>
      <c r="Q33" s="86" t="s">
        <v>33</v>
      </c>
      <c r="R33" s="104">
        <f>B33/'2013'!B33*100</f>
        <v>-1.1670194385403641</v>
      </c>
      <c r="S33" s="104">
        <f>C33/'2013'!C33*100</f>
        <v>9.0199283697491364</v>
      </c>
      <c r="T33" s="104">
        <f>D33/'2013'!D33*100</f>
        <v>-2.0521315524246679</v>
      </c>
      <c r="U33" s="104">
        <f>E33/'2013'!E33*100</f>
        <v>2.4153483429936928</v>
      </c>
      <c r="V33" s="104">
        <f>F33/'2013'!F33*100</f>
        <v>2.2058921803079206</v>
      </c>
      <c r="W33" s="104">
        <f>G33/'2013'!G33*100</f>
        <v>2.1388705465317703</v>
      </c>
      <c r="X33" s="104">
        <f>H33/'2013'!H33*100</f>
        <v>1.803054541193948</v>
      </c>
      <c r="Y33" s="104">
        <f>I33/'2013'!I33*100</f>
        <v>1.9771427964962431</v>
      </c>
      <c r="Z33" s="104">
        <f>J33/'2013'!J33*100</f>
        <v>-0.60861970697336809</v>
      </c>
      <c r="AA33" s="104">
        <f>K33/'2013'!K33*100</f>
        <v>7.3733218985870135</v>
      </c>
      <c r="AB33" s="104">
        <f>L33/'2013'!L33*100</f>
        <v>-0.82486674452976039</v>
      </c>
      <c r="AC33" s="104">
        <f>M33/'2013'!M33*100</f>
        <v>2.3032489292147065</v>
      </c>
      <c r="AD33" s="104"/>
      <c r="AE33" s="104"/>
    </row>
    <row r="35" spans="1:31" x14ac:dyDescent="0.3">
      <c r="B35" s="38"/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</row>
    <row r="36" spans="1:31" x14ac:dyDescent="0.3">
      <c r="B36" s="38"/>
      <c r="C36" s="38"/>
      <c r="D36" s="38"/>
      <c r="E36" s="38"/>
      <c r="F36" s="38"/>
      <c r="G36" s="38"/>
      <c r="H36" s="38"/>
      <c r="I36" s="38"/>
      <c r="J36" s="38"/>
      <c r="K36" s="38"/>
      <c r="L36" s="38"/>
      <c r="M36" s="38"/>
    </row>
  </sheetData>
  <sheetProtection password="849D" sheet="1" objects="1" scenarios="1" selectLockedCells="1" selectUnlockedCells="1"/>
  <mergeCells count="8">
    <mergeCell ref="B1:O1"/>
    <mergeCell ref="R1:AE1"/>
    <mergeCell ref="Z2:AC2"/>
    <mergeCell ref="B2:E2"/>
    <mergeCell ref="F2:I2"/>
    <mergeCell ref="J2:M2"/>
    <mergeCell ref="R2:U2"/>
    <mergeCell ref="V2:Y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00B0F0"/>
  </sheetPr>
  <dimension ref="A1:H45"/>
  <sheetViews>
    <sheetView workbookViewId="0">
      <selection activeCell="A2" sqref="A1:H1048576"/>
    </sheetView>
  </sheetViews>
  <sheetFormatPr baseColWidth="10" defaultRowHeight="14.4" x14ac:dyDescent="0.3"/>
  <cols>
    <col min="1" max="1" width="24.6640625" customWidth="1"/>
    <col min="2" max="4" width="10.5546875" style="45" customWidth="1"/>
    <col min="5" max="5" width="11.44140625" style="45"/>
    <col min="6" max="6" width="14" bestFit="1" customWidth="1"/>
  </cols>
  <sheetData>
    <row r="1" spans="1:6" ht="16.2" thickBot="1" x14ac:dyDescent="0.35">
      <c r="A1" s="1021" t="s">
        <v>134</v>
      </c>
      <c r="B1" s="1021"/>
      <c r="C1" s="1021"/>
      <c r="D1" s="1021"/>
      <c r="E1" s="1021"/>
    </row>
    <row r="2" spans="1:6" ht="15" thickBot="1" x14ac:dyDescent="0.35">
      <c r="A2" s="372"/>
      <c r="B2" s="373" t="s">
        <v>92</v>
      </c>
      <c r="C2" s="374" t="s">
        <v>6</v>
      </c>
      <c r="D2" s="374" t="s">
        <v>93</v>
      </c>
      <c r="E2" s="375" t="s">
        <v>116</v>
      </c>
      <c r="F2" s="151" t="s">
        <v>117</v>
      </c>
    </row>
    <row r="3" spans="1:6" ht="15" customHeight="1" x14ac:dyDescent="0.3">
      <c r="A3" s="362" t="s">
        <v>52</v>
      </c>
      <c r="B3" s="376">
        <f>SPSS_UNIVERSOS!E9</f>
        <v>553077.66697166092</v>
      </c>
      <c r="C3" s="377">
        <f>SPSS_UNIVERSOS!F9</f>
        <v>777799.16865556571</v>
      </c>
      <c r="D3" s="377">
        <f>SPSS_UNIVERSOS!G9</f>
        <v>507603.93238150072</v>
      </c>
      <c r="E3" s="378">
        <f>SUM(B3:D3)</f>
        <v>1838480.7680087273</v>
      </c>
      <c r="F3" s="188"/>
    </row>
    <row r="4" spans="1:6" ht="15" thickBot="1" x14ac:dyDescent="0.35">
      <c r="A4" s="363" t="s">
        <v>53</v>
      </c>
      <c r="B4" s="368">
        <f>SPSS_UNIVERSOS!E10</f>
        <v>45412.582826463746</v>
      </c>
      <c r="C4" s="368">
        <f>SPSS_UNIVERSOS!F10</f>
        <v>186840.73421572807</v>
      </c>
      <c r="D4" s="368">
        <f>SPSS_UNIVERSOS!G10</f>
        <v>444603.96976883832</v>
      </c>
      <c r="E4" s="369">
        <f>SUM(B4:D4)</f>
        <v>676857.28681103012</v>
      </c>
    </row>
    <row r="5" spans="1:6" ht="15" thickBot="1" x14ac:dyDescent="0.35">
      <c r="A5" s="361" t="s">
        <v>57</v>
      </c>
      <c r="B5" s="381">
        <f>B3+B4</f>
        <v>598490.24979812466</v>
      </c>
      <c r="C5" s="381">
        <f t="shared" ref="C5:D5" si="0">C3+C4</f>
        <v>964639.90287129371</v>
      </c>
      <c r="D5" s="381">
        <f t="shared" si="0"/>
        <v>952207.90215033898</v>
      </c>
      <c r="E5" s="369">
        <f>SUM(B5:D5)</f>
        <v>2515338.0548197571</v>
      </c>
    </row>
    <row r="6" spans="1:6" ht="15" thickBot="1" x14ac:dyDescent="0.35">
      <c r="A6" s="361" t="s">
        <v>88</v>
      </c>
      <c r="B6" s="381">
        <f>B5</f>
        <v>598490.24979812466</v>
      </c>
      <c r="C6" s="382">
        <f>C5</f>
        <v>964639.90287129371</v>
      </c>
      <c r="D6" s="382">
        <f>D5</f>
        <v>952207.90215033898</v>
      </c>
      <c r="E6" s="383">
        <f>E5</f>
        <v>2515338.0548197571</v>
      </c>
      <c r="F6" s="170">
        <v>2515338</v>
      </c>
    </row>
    <row r="7" spans="1:6" x14ac:dyDescent="0.3">
      <c r="A7" s="360" t="s">
        <v>141</v>
      </c>
      <c r="B7" s="379">
        <f>SUM(SPSS_UNIVERSOS!Q61:Q67)</f>
        <v>2038018.477514985</v>
      </c>
      <c r="C7" s="379">
        <f>SUM(SPSS_UNIVERSOS!R61:R67)</f>
        <v>3172511.0847346955</v>
      </c>
      <c r="D7" s="379">
        <f>SUM(SPSS_UNIVERSOS!S61:S67)</f>
        <v>1935061.652070153</v>
      </c>
      <c r="E7" s="380">
        <f>SUM(B7:D7)</f>
        <v>7145591.2143198345</v>
      </c>
      <c r="F7" s="188"/>
    </row>
    <row r="8" spans="1:6" ht="15" thickBot="1" x14ac:dyDescent="0.35">
      <c r="A8" s="363" t="s">
        <v>142</v>
      </c>
      <c r="B8" s="368">
        <f>SUM(SPSS_UNIVERSOS!Q54:Q60)</f>
        <v>155099.6383372327</v>
      </c>
      <c r="C8" s="368">
        <f>SUM(SPSS_UNIVERSOS!R54:R60)</f>
        <v>744855.53785673878</v>
      </c>
      <c r="D8" s="368">
        <f>SUM(SPSS_UNIVERSOS!S54:S60)</f>
        <v>1675873.8063998411</v>
      </c>
      <c r="E8" s="369">
        <f>SUM(B8:D8)</f>
        <v>2575828.9825938125</v>
      </c>
      <c r="F8" s="450">
        <f>SUM(E7:E8)</f>
        <v>9721420.1969136465</v>
      </c>
    </row>
    <row r="9" spans="1:6" ht="15" thickBot="1" x14ac:dyDescent="0.35">
      <c r="A9" s="364"/>
      <c r="B9" s="384"/>
      <c r="C9" s="385"/>
      <c r="D9" s="385"/>
      <c r="E9" s="386"/>
    </row>
    <row r="10" spans="1:6" x14ac:dyDescent="0.3">
      <c r="A10" s="365" t="s">
        <v>56</v>
      </c>
      <c r="B10" s="387">
        <f>ROUND(SUM(B11:B12),0)</f>
        <v>2130271</v>
      </c>
      <c r="C10" s="387">
        <f>ROUND(SUM(C11:C12),0)</f>
        <v>3768357</v>
      </c>
      <c r="D10" s="387">
        <f>ROUNDUP(SUM(D11:D12),0)</f>
        <v>3424083</v>
      </c>
      <c r="E10" s="387">
        <f>SUM(E11:E12)</f>
        <v>9322710.8429052569</v>
      </c>
      <c r="F10" s="189">
        <f>E10-F14</f>
        <v>-0.26965951360762119</v>
      </c>
    </row>
    <row r="11" spans="1:6" x14ac:dyDescent="0.3">
      <c r="A11" s="366" t="s">
        <v>64</v>
      </c>
      <c r="B11" s="358">
        <f>ROUNDDOWN(SUM(SPSS_UNIVERSOS!Q27:Q32),0)</f>
        <v>1979498</v>
      </c>
      <c r="C11" s="358">
        <f>ROUNDUP(SUM(SPSS_UNIVERSOS!R27:R32),0)</f>
        <v>3054052</v>
      </c>
      <c r="D11" s="358">
        <f>SUM(SPSS_UNIVERSOS!S27:S32)</f>
        <v>1834620.9313701927</v>
      </c>
      <c r="E11" s="359">
        <f>SUM(B11:D11)</f>
        <v>6868170.9313701931</v>
      </c>
    </row>
    <row r="12" spans="1:6" ht="15" thickBot="1" x14ac:dyDescent="0.35">
      <c r="A12" s="363" t="s">
        <v>91</v>
      </c>
      <c r="B12" s="368">
        <f>SUM(SPSS_UNIVERSOS!Q20:Q25)</f>
        <v>150773.17288131249</v>
      </c>
      <c r="C12" s="368">
        <f>SUM(SPSS_UNIVERSOS!R20:R25)</f>
        <v>714305.15303382068</v>
      </c>
      <c r="D12" s="368">
        <f>SUM(SPSS_UNIVERSOS!S20:S25)</f>
        <v>1589461.5856199318</v>
      </c>
      <c r="E12" s="359">
        <f>SUM(B12:D12)</f>
        <v>2454539.9115350647</v>
      </c>
    </row>
    <row r="13" spans="1:6" ht="15" thickBot="1" x14ac:dyDescent="0.35">
      <c r="A13" s="364"/>
      <c r="B13" s="384"/>
      <c r="C13" s="385"/>
      <c r="D13" s="385"/>
      <c r="E13" s="386"/>
    </row>
    <row r="14" spans="1:6" ht="15" thickBot="1" x14ac:dyDescent="0.35">
      <c r="A14" s="365" t="s">
        <v>65</v>
      </c>
      <c r="B14" s="387">
        <f>SUM(SPSS_UNIVERSOS!AC15:AC20)</f>
        <v>1109047.1125647703</v>
      </c>
      <c r="C14" s="387">
        <f>ROUNDUP(SUM(SPSS_UNIVERSOS!AD15:AD20),0)</f>
        <v>1944842</v>
      </c>
      <c r="D14" s="387">
        <f>ROUNDUP(SUM(SPSS_UNIVERSOS!AE15:AE20),0)</f>
        <v>1740962</v>
      </c>
      <c r="E14" s="388">
        <f>SUM(B14:D14)</f>
        <v>4794851.1125647705</v>
      </c>
      <c r="F14" s="189">
        <f>SUM(E14:E15)</f>
        <v>9322711.1125647705</v>
      </c>
    </row>
    <row r="15" spans="1:6" ht="15" thickBot="1" x14ac:dyDescent="0.35">
      <c r="A15" s="389" t="s">
        <v>66</v>
      </c>
      <c r="B15" s="390">
        <f>ROUNDDOWN(SUM(SPSS_UNIVERSOS!Z15:Z20),0)</f>
        <v>1021224</v>
      </c>
      <c r="C15" s="390">
        <f>ROUND(SUM(SPSS_UNIVERSOS!AA15:AA20),0)</f>
        <v>1823515</v>
      </c>
      <c r="D15" s="390">
        <f>ROUND(SUM(SPSS_UNIVERSOS!AB15:AB20),0)</f>
        <v>1683121</v>
      </c>
      <c r="E15" s="388">
        <f>SUM(B15:D15)</f>
        <v>4527860</v>
      </c>
      <c r="F15" s="44"/>
    </row>
    <row r="16" spans="1:6" ht="16.5" customHeight="1" thickBot="1" x14ac:dyDescent="0.35">
      <c r="A16" s="364"/>
      <c r="B16" s="391"/>
      <c r="C16" s="392"/>
      <c r="D16" s="392"/>
      <c r="E16" s="393"/>
    </row>
    <row r="17" spans="1:8" x14ac:dyDescent="0.3">
      <c r="A17" s="365" t="s">
        <v>67</v>
      </c>
      <c r="B17" s="387">
        <f>SUM(B18:B19)</f>
        <v>235712</v>
      </c>
      <c r="C17" s="387">
        <f t="shared" ref="C17:E17" si="1">SUM(C18:C19)</f>
        <v>516829</v>
      </c>
      <c r="D17" s="387">
        <f t="shared" si="1"/>
        <v>598367</v>
      </c>
      <c r="E17" s="387">
        <f t="shared" si="1"/>
        <v>1350908</v>
      </c>
      <c r="F17" s="189">
        <f>E17+E20+E23+E26+E29+E32</f>
        <v>9322710.9827925377</v>
      </c>
      <c r="G17" s="44">
        <f>F17-F14</f>
        <v>-0.12977223284542561</v>
      </c>
    </row>
    <row r="18" spans="1:8" ht="15.75" customHeight="1" x14ac:dyDescent="0.3">
      <c r="A18" s="366" t="s">
        <v>68</v>
      </c>
      <c r="B18" s="358">
        <f>ROUNDDOWN(SUM(SPSS_UNIVERSOS!Z15),0)</f>
        <v>117272</v>
      </c>
      <c r="C18" s="358">
        <f>ROUND(SUM(SPSS_UNIVERSOS!AA15),0)</f>
        <v>257095</v>
      </c>
      <c r="D18" s="358">
        <f>ROUND(SUM(SPSS_UNIVERSOS!AB15),0)</f>
        <v>297607</v>
      </c>
      <c r="E18" s="359">
        <f>SUM(B18:D18)</f>
        <v>671974</v>
      </c>
    </row>
    <row r="19" spans="1:8" ht="15" thickBot="1" x14ac:dyDescent="0.35">
      <c r="A19" s="363" t="s">
        <v>69</v>
      </c>
      <c r="B19" s="368">
        <f>ROUND(SPSS_UNIVERSOS!AC15,0)</f>
        <v>118440</v>
      </c>
      <c r="C19" s="368">
        <f>ROUND(SPSS_UNIVERSOS!AD15,0)</f>
        <v>259734</v>
      </c>
      <c r="D19" s="368">
        <f>ROUND(SPSS_UNIVERSOS!AE15,0)</f>
        <v>300760</v>
      </c>
      <c r="E19" s="359">
        <f>SUM(B19:D19)</f>
        <v>678934</v>
      </c>
      <c r="H19" t="s">
        <v>143</v>
      </c>
    </row>
    <row r="20" spans="1:8" x14ac:dyDescent="0.3">
      <c r="A20" s="365" t="s">
        <v>70</v>
      </c>
      <c r="B20" s="387">
        <f>B21+B22</f>
        <v>189859</v>
      </c>
      <c r="C20" s="387">
        <f t="shared" ref="C20:E20" si="2">C21+C22</f>
        <v>435261</v>
      </c>
      <c r="D20" s="387">
        <f t="shared" si="2"/>
        <v>411190</v>
      </c>
      <c r="E20" s="387">
        <f t="shared" si="2"/>
        <v>1036310</v>
      </c>
      <c r="F20" s="189">
        <f>B17+B20+B23+B26+B29+B32</f>
        <v>2130270.9909559898</v>
      </c>
      <c r="G20" s="189">
        <f>C17+C20+C23+C26+C29+C32</f>
        <v>3768356.9578414075</v>
      </c>
      <c r="H20" s="189">
        <f>D17+D20+D23+D26+D29+D32</f>
        <v>3424083.0339951413</v>
      </c>
    </row>
    <row r="21" spans="1:8" x14ac:dyDescent="0.3">
      <c r="A21" s="366" t="s">
        <v>74</v>
      </c>
      <c r="B21" s="358">
        <f>ROUND(SPSS_UNIVERSOS!Z16,0)</f>
        <v>100337</v>
      </c>
      <c r="C21" s="358">
        <f>ROUND(SPSS_UNIVERSOS!AA16,0)</f>
        <v>215726</v>
      </c>
      <c r="D21" s="358">
        <f>ROUND(SPSS_UNIVERSOS!AB16,0)</f>
        <v>209864</v>
      </c>
      <c r="E21" s="359">
        <f>SUM(B21:D21)</f>
        <v>525927</v>
      </c>
      <c r="F21" s="44">
        <f>F20-B10</f>
        <v>-9.044010192155838E-3</v>
      </c>
      <c r="G21" s="44">
        <f t="shared" ref="G21:H21" si="3">G20-C10</f>
        <v>-4.2158592492341995E-2</v>
      </c>
      <c r="H21" s="44">
        <f t="shared" si="3"/>
        <v>3.399514127522707E-2</v>
      </c>
    </row>
    <row r="22" spans="1:8" ht="15" thickBot="1" x14ac:dyDescent="0.35">
      <c r="A22" s="363" t="s">
        <v>75</v>
      </c>
      <c r="B22" s="368">
        <f>ROUND(SPSS_UNIVERSOS!AC16,0)</f>
        <v>89522</v>
      </c>
      <c r="C22" s="368">
        <f>ROUND(SPSS_UNIVERSOS!AD16,0)</f>
        <v>219535</v>
      </c>
      <c r="D22" s="368">
        <f>ROUND(SPSS_UNIVERSOS!AE16,0)</f>
        <v>201326</v>
      </c>
      <c r="E22" s="359">
        <f>SUM(B22:D22)</f>
        <v>510383</v>
      </c>
    </row>
    <row r="23" spans="1:8" x14ac:dyDescent="0.3">
      <c r="A23" s="365" t="s">
        <v>71</v>
      </c>
      <c r="B23" s="387">
        <f>B24+B25</f>
        <v>283488</v>
      </c>
      <c r="C23" s="387">
        <f t="shared" ref="C23:E23" si="4">C24+C25</f>
        <v>601965</v>
      </c>
      <c r="D23" s="387">
        <f t="shared" si="4"/>
        <v>602282</v>
      </c>
      <c r="E23" s="387">
        <f t="shared" si="4"/>
        <v>1487735</v>
      </c>
      <c r="F23" s="189">
        <f>B18+B21+B24+B27+B30+B33</f>
        <v>1021223.9909559899</v>
      </c>
      <c r="G23" s="189">
        <f>C18+C21+C24+C27+C30+C33</f>
        <v>1823514.9578414077</v>
      </c>
      <c r="H23" s="189">
        <f t="shared" ref="H23" si="5">D18+D21+D24+D27+D30+D33</f>
        <v>1683121.0339951413</v>
      </c>
    </row>
    <row r="24" spans="1:8" x14ac:dyDescent="0.3">
      <c r="A24" s="366" t="s">
        <v>76</v>
      </c>
      <c r="B24" s="358">
        <f>ROUND(SPSS_UNIVERSOS!Z17,0)</f>
        <v>148325</v>
      </c>
      <c r="C24" s="358">
        <f>ROUND(SPSS_UNIVERSOS!AA17,0)</f>
        <v>305069</v>
      </c>
      <c r="D24" s="358">
        <f>ROUND(SPSS_UNIVERSOS!AB17,0)</f>
        <v>292820</v>
      </c>
      <c r="E24" s="359">
        <f>SUM(B24:D24)</f>
        <v>746214</v>
      </c>
      <c r="F24" s="44">
        <f>F23-B15</f>
        <v>-9.0440100757405162E-3</v>
      </c>
      <c r="G24" s="44">
        <f>G23-C15</f>
        <v>-4.2158592259511352E-2</v>
      </c>
      <c r="H24" s="44">
        <f t="shared" ref="H24" si="6">H23-D15</f>
        <v>3.399514127522707E-2</v>
      </c>
    </row>
    <row r="25" spans="1:8" ht="15.75" customHeight="1" thickBot="1" x14ac:dyDescent="0.35">
      <c r="A25" s="363" t="s">
        <v>77</v>
      </c>
      <c r="B25" s="368">
        <f>ROUND(SPSS_UNIVERSOS!AC17,0)</f>
        <v>135163</v>
      </c>
      <c r="C25" s="368">
        <f>ROUND(SPSS_UNIVERSOS!AD17,0)</f>
        <v>296896</v>
      </c>
      <c r="D25" s="368">
        <f>ROUND(SPSS_UNIVERSOS!AE17,0)</f>
        <v>309462</v>
      </c>
      <c r="E25" s="369">
        <f>SUM(B25:D25)</f>
        <v>741521</v>
      </c>
      <c r="F25" s="452">
        <f>B19+B22+B25+B28+B31+B34</f>
        <v>1109047</v>
      </c>
      <c r="G25" s="452">
        <f t="shared" ref="G25:H25" si="7">C19+C22+C25+C28+C31+C34</f>
        <v>1944842</v>
      </c>
      <c r="H25" s="452">
        <f t="shared" si="7"/>
        <v>1740962</v>
      </c>
    </row>
    <row r="26" spans="1:8" x14ac:dyDescent="0.3">
      <c r="A26" s="367" t="s">
        <v>87</v>
      </c>
      <c r="B26" s="451">
        <f>B27+B28</f>
        <v>396219</v>
      </c>
      <c r="C26" s="394">
        <f t="shared" ref="C26:E26" si="8">C27+C28</f>
        <v>736970.95784140774</v>
      </c>
      <c r="D26" s="394">
        <f t="shared" si="8"/>
        <v>738620.03399514116</v>
      </c>
      <c r="E26" s="394">
        <f t="shared" si="8"/>
        <v>1871809.9918365488</v>
      </c>
      <c r="F26" s="189">
        <f>F25-B14</f>
        <v>-0.11256477027200162</v>
      </c>
      <c r="G26" s="189">
        <f>G25-C14</f>
        <v>0</v>
      </c>
      <c r="H26" s="189">
        <f t="shared" ref="H26" si="9">H25-D14</f>
        <v>0</v>
      </c>
    </row>
    <row r="27" spans="1:8" x14ac:dyDescent="0.3">
      <c r="A27" s="366" t="s">
        <v>86</v>
      </c>
      <c r="B27" s="358">
        <f>ROUND(SPSS_UNIVERSOS!Z18,0)</f>
        <v>172647</v>
      </c>
      <c r="C27" s="358">
        <f>SPSS_UNIVERSOS!AA18</f>
        <v>350773.95784140774</v>
      </c>
      <c r="D27" s="358">
        <f>SPSS_UNIVERSOS!AB18</f>
        <v>371761.03399514116</v>
      </c>
      <c r="E27" s="359">
        <f>SUM(B27:D27)</f>
        <v>895181.9918365489</v>
      </c>
    </row>
    <row r="28" spans="1:8" ht="15" thickBot="1" x14ac:dyDescent="0.35">
      <c r="A28" s="363" t="s">
        <v>85</v>
      </c>
      <c r="B28" s="368">
        <f>ROUND(SPSS_UNIVERSOS!AC18,0)</f>
        <v>223572</v>
      </c>
      <c r="C28" s="368">
        <f>ROUNDUP(SPSS_UNIVERSOS!AD18,0)</f>
        <v>386197</v>
      </c>
      <c r="D28" s="368">
        <f>ROUND(SPSS_UNIVERSOS!AE18,0)</f>
        <v>366859</v>
      </c>
      <c r="E28" s="359">
        <f>SUM(B28:D28)</f>
        <v>976628</v>
      </c>
    </row>
    <row r="29" spans="1:8" x14ac:dyDescent="0.3">
      <c r="A29" s="367" t="s">
        <v>72</v>
      </c>
      <c r="B29" s="394">
        <f>B30+B31</f>
        <v>374820</v>
      </c>
      <c r="C29" s="394">
        <f t="shared" ref="C29:E29" si="10">C30+C31</f>
        <v>635791</v>
      </c>
      <c r="D29" s="394">
        <f t="shared" si="10"/>
        <v>538106</v>
      </c>
      <c r="E29" s="394">
        <f t="shared" si="10"/>
        <v>1548717</v>
      </c>
      <c r="F29" s="189"/>
    </row>
    <row r="30" spans="1:8" x14ac:dyDescent="0.3">
      <c r="A30" s="366" t="s">
        <v>78</v>
      </c>
      <c r="B30" s="358">
        <f>ROUNDUP(SPSS_UNIVERSOS!Z19,0)</f>
        <v>173091</v>
      </c>
      <c r="C30" s="358">
        <f>ROUNDDOWN(SPSS_UNIVERSOS!AA19,0)</f>
        <v>303328</v>
      </c>
      <c r="D30" s="358">
        <f>ROUNDDOWN(SPSS_UNIVERSOS!AB19,0)</f>
        <v>255924</v>
      </c>
      <c r="E30" s="359">
        <f>SUM(B30:D30)</f>
        <v>732343</v>
      </c>
    </row>
    <row r="31" spans="1:8" ht="15" thickBot="1" x14ac:dyDescent="0.35">
      <c r="A31" s="363" t="s">
        <v>79</v>
      </c>
      <c r="B31" s="368">
        <f>ROUND(SPSS_UNIVERSOS!AC19,0)</f>
        <v>201729</v>
      </c>
      <c r="C31" s="368">
        <f>ROUND(SPSS_UNIVERSOS!AD19,0)</f>
        <v>332463</v>
      </c>
      <c r="D31" s="368">
        <f>ROUND(SPSS_UNIVERSOS!AE19,0)</f>
        <v>282182</v>
      </c>
      <c r="E31" s="359">
        <f>SUM(B31:D31)</f>
        <v>816374</v>
      </c>
    </row>
    <row r="32" spans="1:8" x14ac:dyDescent="0.3">
      <c r="A32" s="367" t="s">
        <v>73</v>
      </c>
      <c r="B32" s="394">
        <f>B33+B34</f>
        <v>650172.99095598992</v>
      </c>
      <c r="C32" s="394">
        <f t="shared" ref="C32:E32" si="11">C33+C34</f>
        <v>841540</v>
      </c>
      <c r="D32" s="394">
        <f t="shared" si="11"/>
        <v>535518</v>
      </c>
      <c r="E32" s="394">
        <f t="shared" si="11"/>
        <v>2027230.9909559898</v>
      </c>
      <c r="F32" s="189"/>
    </row>
    <row r="33" spans="1:6" ht="15.75" customHeight="1" x14ac:dyDescent="0.3">
      <c r="A33" s="366" t="s">
        <v>80</v>
      </c>
      <c r="B33" s="358">
        <f>SPSS_UNIVERSOS!Z20</f>
        <v>309551.99095598992</v>
      </c>
      <c r="C33" s="358">
        <f>ROUNDUP(SPSS_UNIVERSOS!AA20,0)</f>
        <v>391523</v>
      </c>
      <c r="D33" s="358">
        <f>ROUND(SPSS_UNIVERSOS!AB20,0)</f>
        <v>255145</v>
      </c>
      <c r="E33" s="359">
        <f>SUM(B33:D33)</f>
        <v>956219.99095598992</v>
      </c>
    </row>
    <row r="34" spans="1:6" ht="15" thickBot="1" x14ac:dyDescent="0.35">
      <c r="A34" s="363" t="s">
        <v>81</v>
      </c>
      <c r="B34" s="368">
        <f>ROUNDUP(SPSS_UNIVERSOS!AC20,0)</f>
        <v>340621</v>
      </c>
      <c r="C34" s="368">
        <f>ROUND(SPSS_UNIVERSOS!AD20,0)</f>
        <v>450017</v>
      </c>
      <c r="D34" s="368">
        <f>ROUND(SPSS_UNIVERSOS!AE20,0)</f>
        <v>280373</v>
      </c>
      <c r="E34" s="359">
        <f>SUM(B34:D34)</f>
        <v>1071011</v>
      </c>
    </row>
    <row r="35" spans="1:6" ht="15.75" customHeight="1" thickBot="1" x14ac:dyDescent="0.35">
      <c r="A35" s="364"/>
      <c r="B35" s="384"/>
      <c r="C35" s="385"/>
      <c r="D35" s="385"/>
      <c r="E35" s="386"/>
    </row>
    <row r="36" spans="1:6" x14ac:dyDescent="0.3">
      <c r="A36" s="362" t="s">
        <v>90</v>
      </c>
      <c r="B36" s="376">
        <f>B24+B27+B30+B33</f>
        <v>803614.99095598992</v>
      </c>
      <c r="C36" s="376">
        <f t="shared" ref="C36:D36" si="12">C24+C27+C30+C33</f>
        <v>1350693.9578414077</v>
      </c>
      <c r="D36" s="376">
        <f t="shared" si="12"/>
        <v>1175650.0339951413</v>
      </c>
      <c r="E36" s="378">
        <f>SUM(B36:D36)</f>
        <v>3329958.9827925391</v>
      </c>
      <c r="F36" s="187"/>
    </row>
    <row r="37" spans="1:6" ht="15.75" customHeight="1" thickBot="1" x14ac:dyDescent="0.35">
      <c r="A37" s="363" t="s">
        <v>89</v>
      </c>
      <c r="B37" s="368">
        <f>B25+B28+B31+B34</f>
        <v>901085</v>
      </c>
      <c r="C37" s="368">
        <f t="shared" ref="C37:D37" si="13">C25+C28+C31+C34</f>
        <v>1465573</v>
      </c>
      <c r="D37" s="368">
        <f t="shared" si="13"/>
        <v>1238876</v>
      </c>
      <c r="E37" s="369">
        <f>SUM(B37:D37)</f>
        <v>3605534</v>
      </c>
      <c r="F37" s="187"/>
    </row>
    <row r="38" spans="1:6" x14ac:dyDescent="0.3">
      <c r="E38" s="370"/>
      <c r="F38" s="44"/>
    </row>
    <row r="39" spans="1:6" ht="15" customHeight="1" x14ac:dyDescent="0.3">
      <c r="E39" s="371"/>
      <c r="F39" s="44"/>
    </row>
    <row r="40" spans="1:6" x14ac:dyDescent="0.3">
      <c r="B40" s="371"/>
      <c r="C40" s="371"/>
      <c r="D40" s="371"/>
      <c r="E40" s="371"/>
      <c r="F40" s="189"/>
    </row>
    <row r="41" spans="1:6" ht="15" customHeight="1" x14ac:dyDescent="0.3">
      <c r="B41" s="371"/>
      <c r="C41" s="371"/>
      <c r="D41" s="371"/>
    </row>
    <row r="43" spans="1:6" ht="15" customHeight="1" x14ac:dyDescent="0.3"/>
    <row r="45" spans="1:6" ht="15" customHeight="1" x14ac:dyDescent="0.3"/>
  </sheetData>
  <sheetProtection selectLockedCells="1" selectUnlockedCells="1"/>
  <mergeCells count="1">
    <mergeCell ref="A1:E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18</vt:i4>
      </vt:variant>
    </vt:vector>
  </HeadingPairs>
  <TitlesOfParts>
    <vt:vector size="18" baseType="lpstr">
      <vt:lpstr>2013</vt:lpstr>
      <vt:lpstr>2014</vt:lpstr>
      <vt:lpstr>2015</vt:lpstr>
      <vt:lpstr>UNIV_LIMA14</vt:lpstr>
      <vt:lpstr>UNIV_CDES14</vt:lpstr>
      <vt:lpstr>2016</vt:lpstr>
      <vt:lpstr>UNIV_2025</vt:lpstr>
      <vt:lpstr>COMPARAR14</vt:lpstr>
      <vt:lpstr>UNI_LIM_15</vt:lpstr>
      <vt:lpstr>UNI_CDS_15</vt:lpstr>
      <vt:lpstr>SPSS_UNIVERSOS</vt:lpstr>
      <vt:lpstr>COM_2015</vt:lpstr>
      <vt:lpstr>Com_15_16</vt:lpstr>
      <vt:lpstr>Com_17_16</vt:lpstr>
      <vt:lpstr>Spss_Univer</vt:lpstr>
      <vt:lpstr>Spss_Univer_2017</vt:lpstr>
      <vt:lpstr>Uni_Lima_Cdes16</vt:lpstr>
      <vt:lpstr>Uni_Lima_Cdes17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Carmen Chiroque</dc:creator>
  <cp:lastModifiedBy>Gina Carrasco</cp:lastModifiedBy>
  <cp:lastPrinted>2015-12-29T23:28:27Z</cp:lastPrinted>
  <dcterms:created xsi:type="dcterms:W3CDTF">2012-01-02T20:59:49Z</dcterms:created>
  <dcterms:modified xsi:type="dcterms:W3CDTF">2024-12-24T17:03:38Z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741da7a-79c1-417c-b408-16c0bfe99fca_Enabled">
    <vt:lpwstr>true</vt:lpwstr>
  </property>
  <property fmtid="{D5CDD505-2E9C-101B-9397-08002B2CF9AE}" pid="3" name="MSIP_Label_3741da7a-79c1-417c-b408-16c0bfe99fca_SetDate">
    <vt:lpwstr>2024-09-25T17:01:16Z</vt:lpwstr>
  </property>
  <property fmtid="{D5CDD505-2E9C-101B-9397-08002B2CF9AE}" pid="4" name="MSIP_Label_3741da7a-79c1-417c-b408-16c0bfe99fca_Method">
    <vt:lpwstr>Standard</vt:lpwstr>
  </property>
  <property fmtid="{D5CDD505-2E9C-101B-9397-08002B2CF9AE}" pid="5" name="MSIP_Label_3741da7a-79c1-417c-b408-16c0bfe99fca_Name">
    <vt:lpwstr>Internal Only - Amber</vt:lpwstr>
  </property>
  <property fmtid="{D5CDD505-2E9C-101B-9397-08002B2CF9AE}" pid="6" name="MSIP_Label_3741da7a-79c1-417c-b408-16c0bfe99fca_SiteId">
    <vt:lpwstr>1e355c04-e0a4-42ed-8e2d-7351591f0ef1</vt:lpwstr>
  </property>
  <property fmtid="{D5CDD505-2E9C-101B-9397-08002B2CF9AE}" pid="7" name="MSIP_Label_3741da7a-79c1-417c-b408-16c0bfe99fca_ActionId">
    <vt:lpwstr>d5fd00a1-9e88-4e92-9176-f57ce8fbdb0f</vt:lpwstr>
  </property>
  <property fmtid="{D5CDD505-2E9C-101B-9397-08002B2CF9AE}" pid="8" name="MSIP_Label_3741da7a-79c1-417c-b408-16c0bfe99fca_ContentBits">
    <vt:lpwstr>0</vt:lpwstr>
  </property>
</Properties>
</file>