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ssignments\ga_assignments\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D3" i="1"/>
  <c r="C3" i="1"/>
  <c r="D2" i="1"/>
  <c r="C2" i="1"/>
</calcChain>
</file>

<file path=xl/sharedStrings.xml><?xml version="1.0" encoding="utf-8"?>
<sst xmlns="http://schemas.openxmlformats.org/spreadsheetml/2006/main" count="58" uniqueCount="58">
  <si>
    <t>Date</t>
  </si>
  <si>
    <t>NYS Total Wage</t>
  </si>
  <si>
    <t>Unemployment Rate</t>
  </si>
  <si>
    <t>Dow Jones Index</t>
  </si>
  <si>
    <t>Dow Jones Qtr Pct</t>
  </si>
  <si>
    <t>Sales Tax Indexed</t>
  </si>
  <si>
    <t>DJ Indexed</t>
  </si>
  <si>
    <t>Unemployment Indexed</t>
  </si>
  <si>
    <t>2003 - Q2</t>
  </si>
  <si>
    <t>2003 - Q3</t>
  </si>
  <si>
    <t>2003 - Q4</t>
  </si>
  <si>
    <t>2004 - Q1</t>
  </si>
  <si>
    <t>2004 - Q2</t>
  </si>
  <si>
    <t>2004 - Q3</t>
  </si>
  <si>
    <t>2004 - Q4</t>
  </si>
  <si>
    <t>2005 - Q1</t>
  </si>
  <si>
    <t>2005 - Q2</t>
  </si>
  <si>
    <t>2005 - Q3</t>
  </si>
  <si>
    <t>2005 - Q4</t>
  </si>
  <si>
    <t>2006 - Q1</t>
  </si>
  <si>
    <t>2006- Q2</t>
  </si>
  <si>
    <t>2006 - Q3</t>
  </si>
  <si>
    <t>2006 - Q4</t>
  </si>
  <si>
    <t>2007 - Q1</t>
  </si>
  <si>
    <t>2007 - Q2</t>
  </si>
  <si>
    <t>2007 - Q3</t>
  </si>
  <si>
    <t>2007 - Q4</t>
  </si>
  <si>
    <t>2008 - Q1</t>
  </si>
  <si>
    <t>2008 - Q2</t>
  </si>
  <si>
    <t>2008 - Q3</t>
  </si>
  <si>
    <t>2008 - Q4</t>
  </si>
  <si>
    <t>2009 - Q1</t>
  </si>
  <si>
    <t>2009 - Q2</t>
  </si>
  <si>
    <t>2009 - Q3</t>
  </si>
  <si>
    <t>2009 - Q4</t>
  </si>
  <si>
    <t>2010 - Q1</t>
  </si>
  <si>
    <t>2010 - Q2</t>
  </si>
  <si>
    <t>2010 - Q3</t>
  </si>
  <si>
    <t>2010 - Q4</t>
  </si>
  <si>
    <t>2011 - Q1</t>
  </si>
  <si>
    <t>2011 - Q2</t>
  </si>
  <si>
    <t>2011 - Q3</t>
  </si>
  <si>
    <t>2011 - Q4</t>
  </si>
  <si>
    <t>2012 - Q1</t>
  </si>
  <si>
    <t>2012 - Q2</t>
  </si>
  <si>
    <t>2012 - Q3</t>
  </si>
  <si>
    <t>2012 - Q4</t>
  </si>
  <si>
    <t>2013 - Q1</t>
  </si>
  <si>
    <t>2013 - Q2</t>
  </si>
  <si>
    <t>2013 - Q3</t>
  </si>
  <si>
    <t>2013 - Q4</t>
  </si>
  <si>
    <t>2014 - Q1</t>
  </si>
  <si>
    <t>2014 - Q2</t>
  </si>
  <si>
    <t>2014 - Q3</t>
  </si>
  <si>
    <t>2014 - Q4</t>
  </si>
  <si>
    <t>SalesTax</t>
  </si>
  <si>
    <t>NYCTourists</t>
  </si>
  <si>
    <t>TouristTax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</si>
</sst>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164" fontId="0" fillId="0" borderId="0" xfId="1" applyNumberFormat="1" applyFont="1" applyFill="1"/>
    <xf numFmtId="165" fontId="0" fillId="0" borderId="0" xfId="0" applyNumberFormat="1"/>
    <xf numFmtId="1" fontId="0" fillId="0" borderId="0" xfId="0" applyNumberFormat="1" applyAlignment="1">
      <alignment horizontal="left" indent="1"/>
    </xf>
    <xf numFmtId="165" fontId="0" fillId="0" borderId="0" xfId="2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3" applyNumberFormat="1" applyFont="1"/>
    <xf numFmtId="4" fontId="0" fillId="0" borderId="0" xfId="0" applyNumberFormat="1"/>
    <xf numFmtId="167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E1" sqref="E1"/>
    </sheetView>
  </sheetViews>
  <sheetFormatPr defaultRowHeight="15" x14ac:dyDescent="0.25"/>
  <cols>
    <col min="1" max="1" width="10.28515625" bestFit="1" customWidth="1"/>
    <col min="2" max="2" width="37.42578125" bestFit="1" customWidth="1"/>
    <col min="3" max="3" width="15.85546875" bestFit="1" customWidth="1"/>
    <col min="4" max="4" width="25.85546875" bestFit="1" customWidth="1"/>
    <col min="5" max="5" width="16.28515625" bestFit="1" customWidth="1"/>
    <col min="6" max="6" width="19.5703125" bestFit="1" customWidth="1"/>
    <col min="7" max="7" width="16" bestFit="1" customWidth="1"/>
    <col min="8" max="8" width="17" bestFit="1" customWidth="1"/>
    <col min="10" max="10" width="10.7109375" bestFit="1" customWidth="1"/>
    <col min="11" max="11" width="23" bestFit="1" customWidth="1"/>
  </cols>
  <sheetData>
    <row r="1" spans="1:11" x14ac:dyDescent="0.25">
      <c r="A1" t="s">
        <v>0</v>
      </c>
      <c r="B1" t="s">
        <v>55</v>
      </c>
      <c r="C1" s="1" t="s">
        <v>56</v>
      </c>
      <c r="D1" s="2" t="s">
        <v>57</v>
      </c>
      <c r="E1" s="3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4" t="s">
        <v>8</v>
      </c>
      <c r="B2" s="5">
        <v>4986862</v>
      </c>
      <c r="C2" s="6">
        <f>37800000*0.24</f>
        <v>9072000</v>
      </c>
      <c r="D2" s="7">
        <f>4900000*0.24</f>
        <v>1176000</v>
      </c>
      <c r="E2" s="3">
        <v>91462243357</v>
      </c>
      <c r="F2" s="8">
        <v>6.433744349513644E-2</v>
      </c>
      <c r="G2" s="9">
        <v>9233.7999999999993</v>
      </c>
      <c r="H2" s="8">
        <v>0.15536158696117286</v>
      </c>
      <c r="I2">
        <v>100</v>
      </c>
      <c r="J2">
        <v>100</v>
      </c>
      <c r="K2">
        <v>100</v>
      </c>
    </row>
    <row r="3" spans="1:11" x14ac:dyDescent="0.25">
      <c r="A3" s="4" t="s">
        <v>9</v>
      </c>
      <c r="B3" s="5">
        <v>5551408</v>
      </c>
      <c r="C3" s="6">
        <f>37800000*0.3</f>
        <v>11340000</v>
      </c>
      <c r="D3" s="7">
        <f>4900000*0.3</f>
        <v>1470000</v>
      </c>
      <c r="E3" s="3">
        <v>89496343204</v>
      </c>
      <c r="F3" s="8">
        <v>6.4644159654155306E-2</v>
      </c>
      <c r="G3" s="9">
        <v>9801.1200000000008</v>
      </c>
      <c r="H3" s="8">
        <v>6.1439494032792696E-2</v>
      </c>
      <c r="I3" s="10">
        <f>(((B3/B2)-1)*100)+I2</f>
        <v>111.32066618246104</v>
      </c>
      <c r="J3" s="10">
        <f>(((G3/G2)-1)*100)+J2</f>
        <v>106.14394940327927</v>
      </c>
      <c r="K3" s="10">
        <f>(((F2/F3)-1)*100)+K2</f>
        <v>99.52553152417822</v>
      </c>
    </row>
    <row r="4" spans="1:11" x14ac:dyDescent="0.25">
      <c r="A4" s="4" t="s">
        <v>10</v>
      </c>
      <c r="B4" s="5">
        <v>5559948</v>
      </c>
      <c r="C4" s="6">
        <f>37800000*0.25</f>
        <v>9450000</v>
      </c>
      <c r="D4" s="7">
        <f>4900000*0.25</f>
        <v>1225000</v>
      </c>
      <c r="E4" s="7">
        <v>104227501522</v>
      </c>
      <c r="F4" s="8">
        <v>6.3783630710485359E-2</v>
      </c>
      <c r="G4" s="9">
        <v>10488.07</v>
      </c>
      <c r="H4" s="8">
        <v>7.0088928612240142E-2</v>
      </c>
      <c r="I4" s="10">
        <f>(((B4/B3)-1)*100)+I3</f>
        <v>111.47450102940438</v>
      </c>
      <c r="J4" s="10">
        <f t="shared" ref="J4:J48" si="0">(((G4/G3)-1)*100)+J3</f>
        <v>113.15284226450328</v>
      </c>
      <c r="K4" s="10">
        <f>(((F3/F4)-1)*100)+K3</f>
        <v>100.87466912278231</v>
      </c>
    </row>
    <row r="5" spans="1:11" x14ac:dyDescent="0.25">
      <c r="A5" s="4" t="s">
        <v>11</v>
      </c>
      <c r="B5" s="5">
        <v>5357786</v>
      </c>
      <c r="C5" s="6">
        <f>39900000*0.21</f>
        <v>8379000</v>
      </c>
      <c r="D5" s="7">
        <f>5400000*0.21</f>
        <v>1134000</v>
      </c>
      <c r="E5" s="3">
        <v>111628688770</v>
      </c>
      <c r="F5" s="8">
        <v>6.2475058638088089E-2</v>
      </c>
      <c r="G5" s="9">
        <v>10225.57</v>
      </c>
      <c r="H5" s="8">
        <v>-2.5028437071834997E-2</v>
      </c>
      <c r="I5" s="10">
        <f t="shared" ref="I5:I48" si="1">(((B5/B4)-1)*100)+I4</f>
        <v>107.83845982901904</v>
      </c>
      <c r="J5" s="10">
        <f t="shared" si="0"/>
        <v>110.64999855731978</v>
      </c>
      <c r="K5" s="10">
        <f t="shared" ref="K5:K48" si="2">(((F4/F5)-1)*100)+K4</f>
        <v>102.9692202939588</v>
      </c>
    </row>
    <row r="6" spans="1:11" x14ac:dyDescent="0.25">
      <c r="A6" s="4" t="s">
        <v>12</v>
      </c>
      <c r="B6" s="5">
        <v>5779353</v>
      </c>
      <c r="C6" s="6">
        <f>39900000*0.24</f>
        <v>9576000</v>
      </c>
      <c r="D6" s="7">
        <f>5400000*0.24</f>
        <v>1296000</v>
      </c>
      <c r="E6" s="6">
        <v>94944685060</v>
      </c>
      <c r="F6" s="8">
        <v>5.9947429768786746E-2</v>
      </c>
      <c r="G6" s="9">
        <v>10139.709999999999</v>
      </c>
      <c r="H6" s="8">
        <v>-8.3965979402615964E-3</v>
      </c>
      <c r="I6" s="10">
        <f t="shared" si="1"/>
        <v>115.70676587931669</v>
      </c>
      <c r="J6" s="10">
        <f t="shared" si="0"/>
        <v>109.81033876329361</v>
      </c>
      <c r="K6" s="10">
        <f t="shared" si="2"/>
        <v>107.18562936946084</v>
      </c>
    </row>
    <row r="7" spans="1:11" x14ac:dyDescent="0.25">
      <c r="A7" s="4" t="s">
        <v>13</v>
      </c>
      <c r="B7" s="5">
        <v>5920248</v>
      </c>
      <c r="C7" s="6">
        <f>39900000*0.3</f>
        <v>11970000</v>
      </c>
      <c r="D7" s="7">
        <f>5400000*0.3</f>
        <v>1620000</v>
      </c>
      <c r="E7" s="6">
        <v>95188643521</v>
      </c>
      <c r="F7" s="8">
        <v>5.6285521924395815E-2</v>
      </c>
      <c r="G7" s="9">
        <v>10027.469999999999</v>
      </c>
      <c r="H7" s="8">
        <v>-1.1069350109618514E-2</v>
      </c>
      <c r="I7" s="10">
        <f t="shared" si="1"/>
        <v>118.14466853035738</v>
      </c>
      <c r="J7" s="10">
        <f t="shared" si="0"/>
        <v>108.70340375233177</v>
      </c>
      <c r="K7" s="10">
        <f t="shared" si="2"/>
        <v>113.69157924642866</v>
      </c>
    </row>
    <row r="8" spans="1:11" x14ac:dyDescent="0.25">
      <c r="A8" s="4" t="s">
        <v>14</v>
      </c>
      <c r="B8" s="5">
        <v>5904042</v>
      </c>
      <c r="C8" s="6">
        <f>39900000*0.25</f>
        <v>9975000</v>
      </c>
      <c r="D8" s="7">
        <f>5400000*0.25</f>
        <v>1350000</v>
      </c>
      <c r="E8" s="6">
        <v>111614871605</v>
      </c>
      <c r="F8" s="8">
        <v>5.3349491503427098E-2</v>
      </c>
      <c r="G8" s="9">
        <v>10489.94</v>
      </c>
      <c r="H8" s="8">
        <v>4.6120307515255643E-2</v>
      </c>
      <c r="I8" s="10">
        <f t="shared" si="1"/>
        <v>117.8709299977824</v>
      </c>
      <c r="J8" s="10">
        <f t="shared" si="0"/>
        <v>113.31543450385733</v>
      </c>
      <c r="K8" s="10">
        <f t="shared" si="2"/>
        <v>119.19496894749096</v>
      </c>
    </row>
    <row r="9" spans="1:11" x14ac:dyDescent="0.25">
      <c r="A9" s="4" t="s">
        <v>15</v>
      </c>
      <c r="B9" s="5">
        <v>5673487</v>
      </c>
      <c r="C9" s="6">
        <f>42700000*0.21</f>
        <v>8967000</v>
      </c>
      <c r="D9" s="7">
        <f>5440000*0.21</f>
        <v>1142400</v>
      </c>
      <c r="E9" s="3">
        <v>116940230168</v>
      </c>
      <c r="F9" s="8">
        <v>5.0802333874665463E-2</v>
      </c>
      <c r="G9" s="9">
        <v>10192.51</v>
      </c>
      <c r="H9" s="8">
        <v>-2.8353832338411822E-2</v>
      </c>
      <c r="I9" s="10">
        <f t="shared" si="1"/>
        <v>113.96589341437056</v>
      </c>
      <c r="J9" s="10">
        <f t="shared" si="0"/>
        <v>110.48005127001615</v>
      </c>
      <c r="K9" s="10">
        <f t="shared" si="2"/>
        <v>124.20882841907691</v>
      </c>
    </row>
    <row r="10" spans="1:11" x14ac:dyDescent="0.25">
      <c r="A10" s="4" t="s">
        <v>16</v>
      </c>
      <c r="B10" s="5">
        <v>6050231</v>
      </c>
      <c r="C10" s="6">
        <f>42700000*0.24</f>
        <v>10248000</v>
      </c>
      <c r="D10" s="7">
        <f>5440000*0.24</f>
        <v>1305600</v>
      </c>
      <c r="E10" s="3">
        <v>99723436500</v>
      </c>
      <c r="F10" s="8">
        <v>4.9667517660173903E-2</v>
      </c>
      <c r="G10" s="9">
        <v>10640.91</v>
      </c>
      <c r="H10" s="8">
        <v>4.3993089042836386E-2</v>
      </c>
      <c r="I10" s="10">
        <f t="shared" si="1"/>
        <v>120.60632459893131</v>
      </c>
      <c r="J10" s="10">
        <f t="shared" si="0"/>
        <v>114.87936017429979</v>
      </c>
      <c r="K10" s="10">
        <f t="shared" si="2"/>
        <v>126.49365413204286</v>
      </c>
    </row>
    <row r="11" spans="1:11" x14ac:dyDescent="0.25">
      <c r="A11" s="4" t="s">
        <v>17</v>
      </c>
      <c r="B11" s="5">
        <v>6225825</v>
      </c>
      <c r="C11" s="6">
        <f>42700000*0.3</f>
        <v>12810000</v>
      </c>
      <c r="D11" s="7">
        <f>5440000*0.3</f>
        <v>1632000</v>
      </c>
      <c r="E11" s="3">
        <v>101275418460</v>
      </c>
      <c r="F11" s="8">
        <v>5.0415785657100691E-2</v>
      </c>
      <c r="G11" s="9">
        <v>10440.07</v>
      </c>
      <c r="H11" s="8">
        <v>-1.8874325598092656E-2</v>
      </c>
      <c r="I11" s="10">
        <f t="shared" si="1"/>
        <v>123.50859395029988</v>
      </c>
      <c r="J11" s="10">
        <f t="shared" si="0"/>
        <v>112.99192761449052</v>
      </c>
      <c r="K11" s="10">
        <f t="shared" si="2"/>
        <v>125.00946026860477</v>
      </c>
    </row>
    <row r="12" spans="1:11" x14ac:dyDescent="0.25">
      <c r="A12" s="4" t="s">
        <v>18</v>
      </c>
      <c r="B12" s="5">
        <v>5968174</v>
      </c>
      <c r="C12" s="6">
        <f>42700000*0.25</f>
        <v>10675000</v>
      </c>
      <c r="D12" s="7">
        <f>5440000*0.25</f>
        <v>1360000</v>
      </c>
      <c r="E12" s="3">
        <v>115624585792</v>
      </c>
      <c r="F12" s="8">
        <v>5.0289075441658504E-2</v>
      </c>
      <c r="G12" s="9">
        <v>10864.86</v>
      </c>
      <c r="H12" s="8">
        <v>4.0688424502900888E-2</v>
      </c>
      <c r="I12" s="10">
        <f t="shared" si="1"/>
        <v>119.37017052850439</v>
      </c>
      <c r="J12" s="10">
        <f t="shared" si="0"/>
        <v>117.06077006478061</v>
      </c>
      <c r="K12" s="10">
        <f t="shared" si="2"/>
        <v>125.26142396912893</v>
      </c>
    </row>
    <row r="13" spans="1:11" x14ac:dyDescent="0.25">
      <c r="A13" s="4" t="s">
        <v>19</v>
      </c>
      <c r="B13" s="5">
        <v>5934184</v>
      </c>
      <c r="C13" s="6">
        <f>43800000*0.21</f>
        <v>9198000</v>
      </c>
      <c r="D13" s="7">
        <f>6240000*0.21</f>
        <v>1310400</v>
      </c>
      <c r="E13" s="3">
        <v>134522851326</v>
      </c>
      <c r="F13" s="8">
        <v>4.8148348411189749E-2</v>
      </c>
      <c r="G13" s="9">
        <v>11367.14</v>
      </c>
      <c r="H13" s="8">
        <v>4.6229771943678832E-2</v>
      </c>
      <c r="I13" s="10">
        <f t="shared" si="1"/>
        <v>118.80064959965748</v>
      </c>
      <c r="J13" s="10">
        <f t="shared" si="0"/>
        <v>121.68374725914849</v>
      </c>
      <c r="K13" s="10">
        <f t="shared" si="2"/>
        <v>129.7075308473687</v>
      </c>
    </row>
    <row r="14" spans="1:11" x14ac:dyDescent="0.25">
      <c r="A14" s="4" t="s">
        <v>20</v>
      </c>
      <c r="B14" s="5">
        <v>5916951</v>
      </c>
      <c r="C14" s="6">
        <f>43800000*0.24</f>
        <v>10512000</v>
      </c>
      <c r="D14" s="7">
        <f>6240000*0.24</f>
        <v>1497600</v>
      </c>
      <c r="E14" s="3">
        <v>106245497678</v>
      </c>
      <c r="F14" s="8">
        <v>4.7671276238567983E-2</v>
      </c>
      <c r="G14" s="9">
        <v>11185.68</v>
      </c>
      <c r="H14" s="8">
        <v>-1.5963558115761667E-2</v>
      </c>
      <c r="I14" s="10">
        <f t="shared" si="1"/>
        <v>118.51024741462243</v>
      </c>
      <c r="J14" s="10">
        <f t="shared" si="0"/>
        <v>120.08739144757233</v>
      </c>
      <c r="K14" s="10">
        <f t="shared" si="2"/>
        <v>130.70828478194827</v>
      </c>
    </row>
    <row r="15" spans="1:11" x14ac:dyDescent="0.25">
      <c r="A15" s="4" t="s">
        <v>21</v>
      </c>
      <c r="B15" s="5">
        <v>6083596</v>
      </c>
      <c r="C15" s="6">
        <f>43800000*0.3</f>
        <v>13140000</v>
      </c>
      <c r="D15" s="7">
        <f>6240000*0.3</f>
        <v>1872000</v>
      </c>
      <c r="E15" s="3">
        <v>103344590515</v>
      </c>
      <c r="F15" s="8">
        <v>4.5845735753435937E-2</v>
      </c>
      <c r="G15" s="9">
        <v>12080.73</v>
      </c>
      <c r="H15" s="8">
        <v>8.001748664363717E-2</v>
      </c>
      <c r="I15" s="10">
        <f t="shared" si="1"/>
        <v>121.32664728002608</v>
      </c>
      <c r="J15" s="10">
        <f t="shared" si="0"/>
        <v>128.08914011193605</v>
      </c>
      <c r="K15" s="10">
        <f t="shared" si="2"/>
        <v>134.69020470346513</v>
      </c>
    </row>
    <row r="16" spans="1:11" x14ac:dyDescent="0.25">
      <c r="A16" s="4" t="s">
        <v>22</v>
      </c>
      <c r="B16" s="5">
        <v>6154494</v>
      </c>
      <c r="C16" s="6">
        <f>43800000*0.25</f>
        <v>10950000</v>
      </c>
      <c r="D16" s="7">
        <f>6240000*0.25</f>
        <v>1560000</v>
      </c>
      <c r="E16" s="3">
        <v>123574586240</v>
      </c>
      <c r="F16" s="8">
        <v>4.338127855975156E-2</v>
      </c>
      <c r="G16" s="9">
        <v>12621.69</v>
      </c>
      <c r="H16" s="8">
        <v>4.4778750952964019E-2</v>
      </c>
      <c r="I16" s="10">
        <f t="shared" si="1"/>
        <v>122.49204353579323</v>
      </c>
      <c r="J16" s="10">
        <f t="shared" si="0"/>
        <v>132.56701520723246</v>
      </c>
      <c r="K16" s="10">
        <f t="shared" si="2"/>
        <v>140.37112807756517</v>
      </c>
    </row>
    <row r="17" spans="1:11" x14ac:dyDescent="0.25">
      <c r="A17" s="4" t="s">
        <v>23</v>
      </c>
      <c r="B17" s="5">
        <v>5808348</v>
      </c>
      <c r="C17" s="6">
        <f>46000000*0.21</f>
        <v>9660000</v>
      </c>
      <c r="D17" s="7">
        <f>6450000*0.21</f>
        <v>1354500</v>
      </c>
      <c r="E17" s="3">
        <v>152967111897</v>
      </c>
      <c r="F17" s="8">
        <v>4.3066558047561432E-2</v>
      </c>
      <c r="G17" s="9">
        <v>13062.91</v>
      </c>
      <c r="H17" s="8">
        <v>3.4957283850260978E-2</v>
      </c>
      <c r="I17" s="10">
        <f t="shared" si="1"/>
        <v>116.86776313191275</v>
      </c>
      <c r="J17" s="10">
        <f t="shared" si="0"/>
        <v>136.06274359225856</v>
      </c>
      <c r="K17" s="10">
        <f t="shared" si="2"/>
        <v>141.10190510377319</v>
      </c>
    </row>
    <row r="18" spans="1:11" x14ac:dyDescent="0.25">
      <c r="A18" s="4" t="s">
        <v>24</v>
      </c>
      <c r="B18" s="5">
        <v>6222661</v>
      </c>
      <c r="C18" s="6">
        <f>46000000*0.24</f>
        <v>11040000</v>
      </c>
      <c r="D18" s="7">
        <f>6450000*0.24</f>
        <v>1548000</v>
      </c>
      <c r="E18" s="3">
        <v>113804666997</v>
      </c>
      <c r="F18" s="8">
        <v>4.485704447157076E-2</v>
      </c>
      <c r="G18" s="9">
        <v>13211.99</v>
      </c>
      <c r="H18" s="8">
        <v>1.1412464757087015E-2</v>
      </c>
      <c r="I18" s="10">
        <f t="shared" si="1"/>
        <v>124.00082402977907</v>
      </c>
      <c r="J18" s="10">
        <f t="shared" si="0"/>
        <v>137.20399006796725</v>
      </c>
      <c r="K18" s="10">
        <f t="shared" si="2"/>
        <v>137.11036610448826</v>
      </c>
    </row>
    <row r="19" spans="1:11" x14ac:dyDescent="0.25">
      <c r="A19" s="4" t="s">
        <v>25</v>
      </c>
      <c r="B19" s="5">
        <v>6361045</v>
      </c>
      <c r="C19" s="6">
        <f>46000000*0.3</f>
        <v>13800000</v>
      </c>
      <c r="D19" s="7">
        <f>6450000*0.3</f>
        <v>1935000</v>
      </c>
      <c r="E19" s="3">
        <v>111073661991</v>
      </c>
      <c r="F19" s="8">
        <v>4.6790415569560456E-2</v>
      </c>
      <c r="G19" s="9">
        <v>13930.01</v>
      </c>
      <c r="H19" s="8">
        <v>5.4346090180207529E-2</v>
      </c>
      <c r="I19" s="10">
        <f t="shared" si="1"/>
        <v>126.22469577853735</v>
      </c>
      <c r="J19" s="10">
        <f t="shared" si="0"/>
        <v>142.63859908598801</v>
      </c>
      <c r="K19" s="10">
        <f t="shared" si="2"/>
        <v>132.97838506850994</v>
      </c>
    </row>
    <row r="20" spans="1:11" x14ac:dyDescent="0.25">
      <c r="A20" s="4" t="s">
        <v>26</v>
      </c>
      <c r="B20" s="5">
        <v>6347903</v>
      </c>
      <c r="C20" s="6">
        <f>46000000*0.25</f>
        <v>11500000</v>
      </c>
      <c r="D20" s="7">
        <f>6450000*0.25</f>
        <v>1612500</v>
      </c>
      <c r="E20" s="3">
        <v>130877057435</v>
      </c>
      <c r="F20" s="8">
        <v>4.7033072941108318E-2</v>
      </c>
      <c r="G20" s="9">
        <v>12650.36</v>
      </c>
      <c r="H20" s="8">
        <v>-9.1862819911830651E-2</v>
      </c>
      <c r="I20" s="10">
        <f t="shared" si="1"/>
        <v>126.01809450469005</v>
      </c>
      <c r="J20" s="10">
        <f t="shared" si="0"/>
        <v>133.45231709480493</v>
      </c>
      <c r="K20" s="10">
        <f t="shared" si="2"/>
        <v>132.46245583749476</v>
      </c>
    </row>
    <row r="21" spans="1:11" x14ac:dyDescent="0.25">
      <c r="A21" s="4" t="s">
        <v>27</v>
      </c>
      <c r="B21" s="5">
        <v>6116387</v>
      </c>
      <c r="C21" s="6">
        <f>47100000*0.21</f>
        <v>9891000</v>
      </c>
      <c r="D21" s="7">
        <f>8260000*0.21</f>
        <v>1734600</v>
      </c>
      <c r="E21" s="3">
        <v>154989830978</v>
      </c>
      <c r="F21" s="8">
        <v>4.7302553164577439E-2</v>
      </c>
      <c r="G21" s="9">
        <v>12820.13</v>
      </c>
      <c r="H21" s="8">
        <v>1.3420171441761219E-2</v>
      </c>
      <c r="I21" s="10">
        <f t="shared" si="1"/>
        <v>122.37096883184975</v>
      </c>
      <c r="J21" s="10">
        <f t="shared" si="0"/>
        <v>134.79433423898104</v>
      </c>
      <c r="K21" s="10">
        <f t="shared" si="2"/>
        <v>131.89276095753442</v>
      </c>
    </row>
    <row r="22" spans="1:11" x14ac:dyDescent="0.25">
      <c r="A22" s="4" t="s">
        <v>28</v>
      </c>
      <c r="B22" s="5">
        <v>6356374</v>
      </c>
      <c r="C22" s="6">
        <f>47100000*0.24</f>
        <v>11304000</v>
      </c>
      <c r="D22" s="7">
        <f>8260000*0.24</f>
        <v>1982400</v>
      </c>
      <c r="E22" s="3">
        <v>117509186606</v>
      </c>
      <c r="F22" s="8">
        <v>5.0151882658688265E-2</v>
      </c>
      <c r="G22" s="9">
        <v>11378.02</v>
      </c>
      <c r="H22" s="8">
        <v>-0.1124879388898552</v>
      </c>
      <c r="I22" s="10">
        <f t="shared" si="1"/>
        <v>126.29464141829661</v>
      </c>
      <c r="J22" s="10">
        <f t="shared" si="0"/>
        <v>123.54554034999552</v>
      </c>
      <c r="K22" s="10">
        <f t="shared" si="2"/>
        <v>126.21136009467527</v>
      </c>
    </row>
    <row r="23" spans="1:11" x14ac:dyDescent="0.25">
      <c r="A23" s="4" t="s">
        <v>29</v>
      </c>
      <c r="B23" s="5">
        <v>6688384</v>
      </c>
      <c r="C23" s="6">
        <f>47100000*0.3</f>
        <v>14130000</v>
      </c>
      <c r="D23" s="7">
        <f>8260000*0.3</f>
        <v>2478000</v>
      </c>
      <c r="E23" s="3">
        <v>114429832467</v>
      </c>
      <c r="F23" s="8">
        <v>5.5213895535838275E-2</v>
      </c>
      <c r="G23" s="9">
        <v>9325.01</v>
      </c>
      <c r="H23" s="8">
        <v>-0.1804364907075221</v>
      </c>
      <c r="I23" s="10">
        <f t="shared" si="1"/>
        <v>131.51790235291122</v>
      </c>
      <c r="J23" s="10">
        <f t="shared" si="0"/>
        <v>105.50189127924331</v>
      </c>
      <c r="K23" s="10">
        <f t="shared" si="2"/>
        <v>117.04335478002697</v>
      </c>
    </row>
    <row r="24" spans="1:11" x14ac:dyDescent="0.25">
      <c r="A24" s="4" t="s">
        <v>30</v>
      </c>
      <c r="B24" s="5">
        <v>6130665</v>
      </c>
      <c r="C24" s="6">
        <f>47100000*0.25</f>
        <v>11775000</v>
      </c>
      <c r="D24" s="7">
        <f>8260000*0.25</f>
        <v>2065000</v>
      </c>
      <c r="E24" s="3">
        <v>132152523963</v>
      </c>
      <c r="F24" s="8">
        <v>6.3066074336237996E-2</v>
      </c>
      <c r="G24" s="9">
        <v>8000.86</v>
      </c>
      <c r="H24" s="8">
        <v>-0.141999847721343</v>
      </c>
      <c r="I24" s="10">
        <f t="shared" si="1"/>
        <v>123.17928124503224</v>
      </c>
      <c r="J24" s="10">
        <f t="shared" si="0"/>
        <v>91.30190650710901</v>
      </c>
      <c r="K24" s="10">
        <f t="shared" si="2"/>
        <v>104.59263720636656</v>
      </c>
    </row>
    <row r="25" spans="1:11" x14ac:dyDescent="0.25">
      <c r="A25" s="4" t="s">
        <v>31</v>
      </c>
      <c r="B25" s="5">
        <v>5826946</v>
      </c>
      <c r="C25" s="6">
        <f>45800000*0.21</f>
        <v>9618000</v>
      </c>
      <c r="D25" s="7">
        <f>7500000*0.21</f>
        <v>1575000</v>
      </c>
      <c r="E25" s="3">
        <v>130724956240</v>
      </c>
      <c r="F25" s="8">
        <v>7.479532086948007E-2</v>
      </c>
      <c r="G25" s="9">
        <v>8168.12</v>
      </c>
      <c r="H25" s="8">
        <v>2.0905252685336384E-2</v>
      </c>
      <c r="I25" s="10">
        <f t="shared" si="1"/>
        <v>118.22518572684621</v>
      </c>
      <c r="J25" s="10">
        <f t="shared" si="0"/>
        <v>93.392431775642649</v>
      </c>
      <c r="K25" s="10">
        <f t="shared" si="2"/>
        <v>88.910845355095631</v>
      </c>
    </row>
    <row r="26" spans="1:11" x14ac:dyDescent="0.25">
      <c r="A26" s="4" t="s">
        <v>32</v>
      </c>
      <c r="B26" s="5">
        <v>5861403</v>
      </c>
      <c r="C26" s="6">
        <f>45800000*0.24</f>
        <v>10992000</v>
      </c>
      <c r="D26" s="7">
        <f>7500000*0.24</f>
        <v>1800000</v>
      </c>
      <c r="E26" s="3">
        <v>112255173524</v>
      </c>
      <c r="F26" s="8">
        <v>8.3224721710343952E-2</v>
      </c>
      <c r="G26" s="9">
        <v>9171.61</v>
      </c>
      <c r="H26" s="8">
        <v>0.12285446345058593</v>
      </c>
      <c r="I26" s="10">
        <f t="shared" si="1"/>
        <v>118.81652465464818</v>
      </c>
      <c r="J26" s="10">
        <f t="shared" si="0"/>
        <v>105.67787812070124</v>
      </c>
      <c r="K26" s="10">
        <f t="shared" si="2"/>
        <v>78.78236349582113</v>
      </c>
    </row>
    <row r="27" spans="1:11" x14ac:dyDescent="0.25">
      <c r="A27" s="4" t="s">
        <v>33</v>
      </c>
      <c r="B27" s="5">
        <v>6168203</v>
      </c>
      <c r="C27" s="6">
        <f>45800000*0.3</f>
        <v>13740000</v>
      </c>
      <c r="D27" s="7">
        <f>7500000*0.3</f>
        <v>2250000</v>
      </c>
      <c r="E27" s="3">
        <v>108217086115</v>
      </c>
      <c r="F27" s="8">
        <v>8.728778408575677E-2</v>
      </c>
      <c r="G27" s="9">
        <v>9712.73</v>
      </c>
      <c r="H27" s="8">
        <v>5.8999455929765743E-2</v>
      </c>
      <c r="I27" s="10">
        <f t="shared" si="1"/>
        <v>124.05076635411842</v>
      </c>
      <c r="J27" s="10">
        <f t="shared" si="0"/>
        <v>111.57782371367782</v>
      </c>
      <c r="K27" s="10">
        <f t="shared" si="2"/>
        <v>74.127574262746975</v>
      </c>
    </row>
    <row r="28" spans="1:11" x14ac:dyDescent="0.25">
      <c r="A28" s="4" t="s">
        <v>34</v>
      </c>
      <c r="B28" s="5">
        <v>7005205</v>
      </c>
      <c r="C28" s="6">
        <f>45800000*0.25</f>
        <v>11450000</v>
      </c>
      <c r="D28" s="7">
        <f>7500000*0.25</f>
        <v>1875000</v>
      </c>
      <c r="E28" s="3">
        <v>130493361172</v>
      </c>
      <c r="F28" s="8">
        <v>8.8441119963506953E-2</v>
      </c>
      <c r="G28" s="9">
        <v>10067.33</v>
      </c>
      <c r="H28" s="8">
        <v>3.6508787951482269E-2</v>
      </c>
      <c r="I28" s="10">
        <f t="shared" si="1"/>
        <v>137.6203910892317</v>
      </c>
      <c r="J28" s="10">
        <f t="shared" si="0"/>
        <v>115.22870250882605</v>
      </c>
      <c r="K28" s="10">
        <f t="shared" si="2"/>
        <v>72.823502267473643</v>
      </c>
    </row>
    <row r="29" spans="1:11" x14ac:dyDescent="0.25">
      <c r="A29" s="4" t="s">
        <v>35</v>
      </c>
      <c r="B29" s="5">
        <v>6500577</v>
      </c>
      <c r="C29" s="6">
        <f>48800000*0.21</f>
        <v>10248000</v>
      </c>
      <c r="D29" s="7">
        <f>8100000*0.21</f>
        <v>1701000</v>
      </c>
      <c r="E29" s="3">
        <v>136415814351</v>
      </c>
      <c r="F29" s="8">
        <v>8.8478058563940226E-2</v>
      </c>
      <c r="G29" s="9">
        <v>11008.61</v>
      </c>
      <c r="H29" s="8">
        <v>9.3498474769377893E-2</v>
      </c>
      <c r="I29" s="10">
        <f t="shared" si="1"/>
        <v>130.41677606297623</v>
      </c>
      <c r="J29" s="10">
        <f t="shared" si="0"/>
        <v>124.57854998576383</v>
      </c>
      <c r="K29" s="10">
        <f t="shared" si="2"/>
        <v>72.781753385284304</v>
      </c>
    </row>
    <row r="30" spans="1:11" x14ac:dyDescent="0.25">
      <c r="A30" s="4" t="s">
        <v>36</v>
      </c>
      <c r="B30" s="5">
        <v>6791387</v>
      </c>
      <c r="C30" s="6">
        <f>48800000*0.24</f>
        <v>11712000</v>
      </c>
      <c r="D30" s="7">
        <f>8100000*0.24</f>
        <v>1944000</v>
      </c>
      <c r="E30" s="3">
        <v>118388342941</v>
      </c>
      <c r="F30" s="8">
        <v>8.6823090924622287E-2</v>
      </c>
      <c r="G30" s="9">
        <v>10465.94</v>
      </c>
      <c r="H30" s="8">
        <v>-4.9295051782195953E-2</v>
      </c>
      <c r="I30" s="10">
        <f t="shared" si="1"/>
        <v>134.89037894468967</v>
      </c>
      <c r="J30" s="10">
        <f t="shared" si="0"/>
        <v>119.64904480754423</v>
      </c>
      <c r="K30" s="10">
        <f t="shared" si="2"/>
        <v>74.687891051766087</v>
      </c>
    </row>
    <row r="31" spans="1:11" x14ac:dyDescent="0.25">
      <c r="A31" s="4" t="s">
        <v>37</v>
      </c>
      <c r="B31" s="5">
        <v>7030609</v>
      </c>
      <c r="C31" s="6">
        <f>48800000*0.3</f>
        <v>14640000</v>
      </c>
      <c r="D31" s="7">
        <f>8100000*0.3</f>
        <v>2430000</v>
      </c>
      <c r="E31" s="3">
        <v>113424304664</v>
      </c>
      <c r="F31" s="8">
        <v>8.5311998937332045E-2</v>
      </c>
      <c r="G31" s="9">
        <v>11118.49</v>
      </c>
      <c r="H31" s="8">
        <v>6.2349870150220532E-2</v>
      </c>
      <c r="I31" s="10">
        <f t="shared" si="1"/>
        <v>138.41281110766315</v>
      </c>
      <c r="J31" s="10">
        <f t="shared" si="0"/>
        <v>125.88403182256629</v>
      </c>
      <c r="K31" s="10">
        <f t="shared" si="2"/>
        <v>76.459144809869031</v>
      </c>
    </row>
    <row r="32" spans="1:11" x14ac:dyDescent="0.25">
      <c r="A32" s="4" t="s">
        <v>38</v>
      </c>
      <c r="B32" s="5">
        <v>7188570</v>
      </c>
      <c r="C32" s="6">
        <f>48800000*0.25</f>
        <v>12200000</v>
      </c>
      <c r="D32" s="7">
        <f>8100000*0.25</f>
        <v>2025000</v>
      </c>
      <c r="E32" s="3">
        <v>134445510008</v>
      </c>
      <c r="F32" s="8">
        <v>8.3969393195489253E-2</v>
      </c>
      <c r="G32" s="9">
        <v>11891.93</v>
      </c>
      <c r="H32" s="8">
        <v>6.9563402944104791E-2</v>
      </c>
      <c r="I32" s="10">
        <f t="shared" si="1"/>
        <v>140.65957237685049</v>
      </c>
      <c r="J32" s="10">
        <f t="shared" si="0"/>
        <v>132.84037211697677</v>
      </c>
      <c r="K32" s="10">
        <f t="shared" si="2"/>
        <v>78.058067572972817</v>
      </c>
    </row>
    <row r="33" spans="1:11" x14ac:dyDescent="0.25">
      <c r="A33" s="4" t="s">
        <v>39</v>
      </c>
      <c r="B33" s="5">
        <v>7057480</v>
      </c>
      <c r="C33" s="6">
        <f>50900000*0.21</f>
        <v>10689000</v>
      </c>
      <c r="D33" s="7">
        <f>8700000*0.21</f>
        <v>1827000</v>
      </c>
      <c r="E33" s="3">
        <v>147227174531</v>
      </c>
      <c r="F33" s="8">
        <v>8.1302230340318499E-2</v>
      </c>
      <c r="G33" s="9">
        <v>12810.54</v>
      </c>
      <c r="H33" s="8">
        <v>7.7246502460071698E-2</v>
      </c>
      <c r="I33" s="10">
        <f t="shared" si="1"/>
        <v>138.83598298424528</v>
      </c>
      <c r="J33" s="10">
        <f t="shared" si="0"/>
        <v>140.56502236298394</v>
      </c>
      <c r="K33" s="10">
        <f t="shared" si="2"/>
        <v>81.338620694340364</v>
      </c>
    </row>
    <row r="34" spans="1:11" x14ac:dyDescent="0.25">
      <c r="A34" s="4" t="s">
        <v>40</v>
      </c>
      <c r="B34" s="5">
        <v>7183382</v>
      </c>
      <c r="C34" s="6">
        <f>50900000*0.24</f>
        <v>12216000</v>
      </c>
      <c r="D34" s="7">
        <f>8700000*0.24</f>
        <v>2088000</v>
      </c>
      <c r="E34" s="3">
        <v>120688601754</v>
      </c>
      <c r="F34" s="8">
        <v>8.1181550693814775E-2</v>
      </c>
      <c r="G34" s="9">
        <v>12143.24</v>
      </c>
      <c r="H34" s="8">
        <v>-5.2089919706741594E-2</v>
      </c>
      <c r="I34" s="10">
        <f t="shared" si="1"/>
        <v>140.61993419629263</v>
      </c>
      <c r="J34" s="10">
        <f t="shared" si="0"/>
        <v>135.35603039230978</v>
      </c>
      <c r="K34" s="10">
        <f t="shared" si="2"/>
        <v>81.487274724070446</v>
      </c>
    </row>
    <row r="35" spans="1:11" x14ac:dyDescent="0.25">
      <c r="A35" s="4" t="s">
        <v>41</v>
      </c>
      <c r="B35" s="5">
        <v>7293349</v>
      </c>
      <c r="C35" s="6">
        <f>50900000*0.3</f>
        <v>15270000</v>
      </c>
      <c r="D35" s="7">
        <f>8700000*0.3</f>
        <v>2610000</v>
      </c>
      <c r="E35" s="3">
        <v>119902649074</v>
      </c>
      <c r="F35" s="8">
        <v>8.3459380496285804E-2</v>
      </c>
      <c r="G35" s="9">
        <v>11955.01</v>
      </c>
      <c r="H35" s="8">
        <v>-1.550080538637133E-2</v>
      </c>
      <c r="I35" s="10">
        <f t="shared" si="1"/>
        <v>142.15078693390285</v>
      </c>
      <c r="J35" s="10">
        <f t="shared" si="0"/>
        <v>133.80594985367264</v>
      </c>
      <c r="K35" s="10">
        <f t="shared" si="2"/>
        <v>78.758007158308445</v>
      </c>
    </row>
    <row r="36" spans="1:11" x14ac:dyDescent="0.25">
      <c r="A36" s="4" t="s">
        <v>42</v>
      </c>
      <c r="B36" s="5">
        <v>7388206</v>
      </c>
      <c r="C36" s="6">
        <f>50900000*0.25</f>
        <v>12725000</v>
      </c>
      <c r="D36" s="7">
        <f>8700000*0.25</f>
        <v>2175000</v>
      </c>
      <c r="E36" s="3">
        <v>133686713809</v>
      </c>
      <c r="F36" s="8">
        <v>8.4147728384033213E-2</v>
      </c>
      <c r="G36" s="9">
        <v>12632.91</v>
      </c>
      <c r="H36" s="8">
        <v>5.6704260389577321E-2</v>
      </c>
      <c r="I36" s="10">
        <f t="shared" si="1"/>
        <v>143.45138286041069</v>
      </c>
      <c r="J36" s="10">
        <f t="shared" si="0"/>
        <v>139.47637589263039</v>
      </c>
      <c r="K36" s="10">
        <f t="shared" si="2"/>
        <v>77.939984020944678</v>
      </c>
    </row>
    <row r="37" spans="1:11" x14ac:dyDescent="0.25">
      <c r="A37" s="4" t="s">
        <v>43</v>
      </c>
      <c r="B37" s="5">
        <v>7151459</v>
      </c>
      <c r="C37" s="6">
        <f>52700000*0.21</f>
        <v>11067000</v>
      </c>
      <c r="D37" s="7">
        <f>9300000*0.21</f>
        <v>1953000</v>
      </c>
      <c r="E37" s="3">
        <v>148817586980</v>
      </c>
      <c r="F37" s="8">
        <v>8.4667087396361432E-2</v>
      </c>
      <c r="G37" s="9">
        <v>13213.63</v>
      </c>
      <c r="H37" s="8">
        <v>4.5968822701974332E-2</v>
      </c>
      <c r="I37" s="10">
        <f t="shared" si="1"/>
        <v>140.24699197038947</v>
      </c>
      <c r="J37" s="10">
        <f t="shared" si="0"/>
        <v>144.07325816282781</v>
      </c>
      <c r="K37" s="10">
        <f t="shared" si="2"/>
        <v>77.326570912853583</v>
      </c>
    </row>
    <row r="38" spans="1:11" x14ac:dyDescent="0.25">
      <c r="A38" s="4" t="s">
        <v>44</v>
      </c>
      <c r="B38" s="5">
        <v>7295815</v>
      </c>
      <c r="C38" s="6">
        <f>52700000*0.24</f>
        <v>12648000</v>
      </c>
      <c r="D38" s="7">
        <f>9300000*0.24</f>
        <v>2232000</v>
      </c>
      <c r="E38" s="3">
        <v>122861211676</v>
      </c>
      <c r="F38" s="8">
        <v>8.6279759391899857E-2</v>
      </c>
      <c r="G38" s="9">
        <v>13008.68</v>
      </c>
      <c r="H38" s="8">
        <v>-1.5510499385861354E-2</v>
      </c>
      <c r="I38" s="10">
        <f t="shared" si="1"/>
        <v>142.26554510758845</v>
      </c>
      <c r="J38" s="10">
        <f t="shared" si="0"/>
        <v>142.52220822424167</v>
      </c>
      <c r="K38" s="10">
        <f t="shared" si="2"/>
        <v>75.457451194735981</v>
      </c>
    </row>
    <row r="39" spans="1:11" x14ac:dyDescent="0.25">
      <c r="A39" s="4" t="s">
        <v>45</v>
      </c>
      <c r="B39" s="5">
        <v>7335179</v>
      </c>
      <c r="C39" s="6">
        <f>52700000*0.3</f>
        <v>15810000</v>
      </c>
      <c r="D39" s="7">
        <f>9300000*0.3</f>
        <v>2790000</v>
      </c>
      <c r="E39" s="3">
        <v>120255761921</v>
      </c>
      <c r="F39" s="8">
        <v>8.5619251756971063E-2</v>
      </c>
      <c r="G39" s="9">
        <v>13096.46</v>
      </c>
      <c r="H39" s="8">
        <v>6.7478022366602719E-3</v>
      </c>
      <c r="I39" s="10">
        <f t="shared" si="1"/>
        <v>142.80508729718619</v>
      </c>
      <c r="J39" s="10">
        <f t="shared" si="0"/>
        <v>143.1969884479077</v>
      </c>
      <c r="K39" s="10">
        <f t="shared" si="2"/>
        <v>76.228898762163482</v>
      </c>
    </row>
    <row r="40" spans="1:11" x14ac:dyDescent="0.25">
      <c r="A40" s="4" t="s">
        <v>46</v>
      </c>
      <c r="B40" s="5">
        <v>7381898</v>
      </c>
      <c r="C40" s="6">
        <f>52700000*0.25</f>
        <v>13175000</v>
      </c>
      <c r="D40" s="7">
        <f>9300000*0.25</f>
        <v>2325000</v>
      </c>
      <c r="E40" s="3">
        <v>144998295075</v>
      </c>
      <c r="F40" s="8">
        <v>8.2616242961982556E-2</v>
      </c>
      <c r="G40" s="9">
        <v>13860.58</v>
      </c>
      <c r="H40" s="8">
        <v>5.8345537649105328E-2</v>
      </c>
      <c r="I40" s="10">
        <f t="shared" si="1"/>
        <v>143.44200426949186</v>
      </c>
      <c r="J40" s="10">
        <f t="shared" si="0"/>
        <v>149.03154221281824</v>
      </c>
      <c r="K40" s="10">
        <f t="shared" si="2"/>
        <v>79.863787843685131</v>
      </c>
    </row>
    <row r="41" spans="1:11" x14ac:dyDescent="0.25">
      <c r="A41" s="4" t="s">
        <v>47</v>
      </c>
      <c r="B41" s="5">
        <v>7408233</v>
      </c>
      <c r="C41" s="6">
        <f>54300000*0.21</f>
        <v>11403000</v>
      </c>
      <c r="D41" s="7">
        <f>9700000*0.21</f>
        <v>2037000</v>
      </c>
      <c r="E41" s="3">
        <v>150588557710</v>
      </c>
      <c r="F41" s="8">
        <v>8.0031775584571418E-2</v>
      </c>
      <c r="G41" s="9">
        <v>14839.8</v>
      </c>
      <c r="H41" s="8">
        <v>7.0647837247791889E-2</v>
      </c>
      <c r="I41" s="10">
        <f t="shared" si="1"/>
        <v>143.79875533811946</v>
      </c>
      <c r="J41" s="10">
        <f t="shared" si="0"/>
        <v>156.09632593759741</v>
      </c>
      <c r="K41" s="10">
        <f t="shared" si="2"/>
        <v>83.093089403638729</v>
      </c>
    </row>
    <row r="42" spans="1:11" x14ac:dyDescent="0.25">
      <c r="A42" s="4" t="s">
        <v>48</v>
      </c>
      <c r="B42" s="5">
        <v>7602718</v>
      </c>
      <c r="C42" s="6">
        <f>54300000*0.24</f>
        <v>13032000</v>
      </c>
      <c r="D42" s="7">
        <f>9700000*0.24</f>
        <v>2328000</v>
      </c>
      <c r="E42" s="3">
        <v>126959170048</v>
      </c>
      <c r="F42" s="8">
        <v>7.7777725583582147E-2</v>
      </c>
      <c r="G42" s="9">
        <v>15499.54</v>
      </c>
      <c r="H42" s="8">
        <v>4.4457472472674953E-2</v>
      </c>
      <c r="I42" s="10">
        <f t="shared" si="1"/>
        <v>146.42401024033435</v>
      </c>
      <c r="J42" s="10">
        <f t="shared" si="0"/>
        <v>160.5420731848649</v>
      </c>
      <c r="K42" s="10">
        <f t="shared" si="2"/>
        <v>85.991155635425116</v>
      </c>
    </row>
    <row r="43" spans="1:11" x14ac:dyDescent="0.25">
      <c r="A43" s="4" t="s">
        <v>49</v>
      </c>
      <c r="B43" s="5">
        <v>7705754</v>
      </c>
      <c r="C43" s="6">
        <f>54300000*0.3</f>
        <v>16290000</v>
      </c>
      <c r="D43" s="7">
        <f>9700000*0.3</f>
        <v>2910000</v>
      </c>
      <c r="E43" s="3">
        <v>124307078297</v>
      </c>
      <c r="F43" s="8">
        <v>7.6467234523472163E-2</v>
      </c>
      <c r="G43" s="9">
        <v>15545.75</v>
      </c>
      <c r="H43" s="8">
        <v>2.9813788022095E-3</v>
      </c>
      <c r="I43" s="10">
        <f t="shared" si="1"/>
        <v>147.77926240146937</v>
      </c>
      <c r="J43" s="10">
        <f t="shared" si="0"/>
        <v>160.84021106508587</v>
      </c>
      <c r="K43" s="10">
        <f t="shared" si="2"/>
        <v>87.704949874587413</v>
      </c>
    </row>
    <row r="44" spans="1:11" x14ac:dyDescent="0.25">
      <c r="A44" s="4" t="s">
        <v>50</v>
      </c>
      <c r="B44" s="5">
        <v>7658329</v>
      </c>
      <c r="C44" s="6">
        <f>54300000*0.25</f>
        <v>13575000</v>
      </c>
      <c r="D44" s="7">
        <f>9700000*0.25</f>
        <v>2425000</v>
      </c>
      <c r="E44" s="3">
        <v>146150612221</v>
      </c>
      <c r="F44" s="8">
        <v>7.1557495669866994E-2</v>
      </c>
      <c r="G44" s="9">
        <v>15698.85</v>
      </c>
      <c r="H44" s="8">
        <v>9.8483508354374472E-3</v>
      </c>
      <c r="I44" s="10">
        <f t="shared" si="1"/>
        <v>147.1638132189494</v>
      </c>
      <c r="J44" s="10">
        <f t="shared" si="0"/>
        <v>161.82504614862961</v>
      </c>
      <c r="K44" s="10">
        <f t="shared" si="2"/>
        <v>94.56620012886745</v>
      </c>
    </row>
    <row r="45" spans="1:11" x14ac:dyDescent="0.25">
      <c r="A45" s="4" t="s">
        <v>51</v>
      </c>
      <c r="B45" s="5">
        <v>7441866</v>
      </c>
      <c r="C45" s="6">
        <f>56400000*0.21</f>
        <v>11844000</v>
      </c>
      <c r="D45" s="7">
        <f>10000000*0.21</f>
        <v>2100000</v>
      </c>
      <c r="E45" s="3">
        <v>163997089104</v>
      </c>
      <c r="F45" s="8">
        <v>6.8234906272087947E-2</v>
      </c>
      <c r="G45" s="9">
        <v>16580.84</v>
      </c>
      <c r="H45" s="8">
        <v>5.6181822235386703E-2</v>
      </c>
      <c r="I45" s="10">
        <f t="shared" si="1"/>
        <v>144.33730889927341</v>
      </c>
      <c r="J45" s="10">
        <f t="shared" si="0"/>
        <v>167.44322837216828</v>
      </c>
      <c r="K45" s="10">
        <f t="shared" si="2"/>
        <v>99.435539854388821</v>
      </c>
    </row>
    <row r="46" spans="1:11" x14ac:dyDescent="0.25">
      <c r="A46" s="4" t="s">
        <v>52</v>
      </c>
      <c r="B46" s="5">
        <v>7813485</v>
      </c>
      <c r="C46" s="6">
        <f>56400000*0.24</f>
        <v>13536000</v>
      </c>
      <c r="D46" s="7">
        <f>10000000*0.24</f>
        <v>2400000</v>
      </c>
      <c r="E46" s="3">
        <v>132252836107</v>
      </c>
      <c r="F46" s="8">
        <v>6.6423153888033049E-2</v>
      </c>
      <c r="G46" s="9">
        <v>16563.3</v>
      </c>
      <c r="H46" s="8">
        <v>-1.0578474914419989E-3</v>
      </c>
      <c r="I46" s="10">
        <f t="shared" si="1"/>
        <v>149.33093549776362</v>
      </c>
      <c r="J46" s="10">
        <f t="shared" si="0"/>
        <v>167.33744362302409</v>
      </c>
      <c r="K46" s="10">
        <f t="shared" si="2"/>
        <v>102.16313148171339</v>
      </c>
    </row>
    <row r="47" spans="1:11" x14ac:dyDescent="0.25">
      <c r="A47" s="4" t="s">
        <v>53</v>
      </c>
      <c r="B47" s="5">
        <v>7932669</v>
      </c>
      <c r="C47" s="6">
        <f>56400000*0.3</f>
        <v>16920000</v>
      </c>
      <c r="D47" s="7">
        <f>10000000*0.3</f>
        <v>3000000</v>
      </c>
      <c r="E47" s="3">
        <v>135375484736.29652</v>
      </c>
      <c r="F47" s="8">
        <v>6.3859484026020749E-2</v>
      </c>
      <c r="G47" s="9">
        <v>17390.52</v>
      </c>
      <c r="H47" s="8">
        <v>4.9942946152035095E-2</v>
      </c>
      <c r="I47" s="10">
        <f t="shared" si="1"/>
        <v>150.85629838001142</v>
      </c>
      <c r="J47" s="10">
        <f t="shared" si="0"/>
        <v>172.33173823822759</v>
      </c>
      <c r="K47" s="10">
        <f t="shared" si="2"/>
        <v>106.17767983128614</v>
      </c>
    </row>
    <row r="48" spans="1:11" x14ac:dyDescent="0.25">
      <c r="A48" s="4" t="s">
        <v>54</v>
      </c>
      <c r="B48" s="5">
        <v>7899370</v>
      </c>
      <c r="C48" s="6">
        <f>56400000*0.25</f>
        <v>14100000</v>
      </c>
      <c r="D48" s="7">
        <f>10000000*0.25</f>
        <v>2500000</v>
      </c>
      <c r="E48" s="3">
        <v>152244481101.23819</v>
      </c>
      <c r="F48" s="8">
        <v>5.8908830285458243E-2</v>
      </c>
      <c r="G48" s="9">
        <v>17832.990000000002</v>
      </c>
      <c r="H48" s="8">
        <v>2.5443172487079169E-2</v>
      </c>
      <c r="I48" s="10">
        <f t="shared" si="1"/>
        <v>150.43652793452833</v>
      </c>
      <c r="J48" s="10">
        <f t="shared" si="0"/>
        <v>174.87605548693551</v>
      </c>
      <c r="K48" s="10">
        <f t="shared" si="2"/>
        <v>114.58160453420896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Morrison</dc:creator>
  <cp:lastModifiedBy>Jay Morrison</cp:lastModifiedBy>
  <dcterms:created xsi:type="dcterms:W3CDTF">2015-02-28T12:08:04Z</dcterms:created>
  <dcterms:modified xsi:type="dcterms:W3CDTF">2015-02-28T12:09:50Z</dcterms:modified>
</cp:coreProperties>
</file>