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Technology\Alexa\Tune Recorder\"/>
    </mc:Choice>
  </mc:AlternateContent>
  <bookViews>
    <workbookView xWindow="0" yWindow="1350" windowWidth="11670" windowHeight="13920" activeTab="6" xr2:uid="{DE12079A-F62B-4022-9D60-920F8CE58B78}"/>
  </bookViews>
  <sheets>
    <sheet name="Main" sheetId="6" r:id="rId1"/>
    <sheet name="Sheet3" sheetId="8" r:id="rId2"/>
    <sheet name="Syllables" sheetId="9" r:id="rId3"/>
    <sheet name="Pitch Pcts" sheetId="3" r:id="rId4"/>
    <sheet name="Pitch Table" sheetId="2" r:id="rId5"/>
    <sheet name="Note Names" sheetId="7" r:id="rId6"/>
    <sheet name="ConvertNote" sheetId="10" r:id="rId7"/>
    <sheet name="Values" sheetId="11" r:id="rId8"/>
  </sheets>
  <definedNames>
    <definedName name="BaseMS">Sheet3!$O$3</definedName>
    <definedName name="LowPitch">ConvertNote!$B$13</definedName>
    <definedName name="MSBASE">Main!$F$14</definedName>
    <definedName name="NoteNames">'Note Names'!$A$1:$A$27</definedName>
    <definedName name="NoteNamesNew">'Note Names'!$A$1:$A$28</definedName>
    <definedName name="NoteValues">Values!$A$1:$B$9</definedName>
    <definedName name="Pitches">Table4[]</definedName>
    <definedName name="PithcesNew">Table4[]</definedName>
    <definedName name="Tempo">Sheet3!$A$3</definedName>
    <definedName name="Transpose">Sheet3!$A$5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6" l="1"/>
  <c r="G30" i="6"/>
  <c r="J30" i="6" s="1"/>
  <c r="K30" i="6" s="1"/>
  <c r="H30" i="6"/>
  <c r="I30" i="6"/>
  <c r="L30" i="6"/>
  <c r="C31" i="10" l="1"/>
  <c r="A23" i="10"/>
  <c r="G16" i="10"/>
  <c r="G15" i="10"/>
  <c r="B13" i="10"/>
  <c r="C17" i="10"/>
  <c r="C16" i="10"/>
  <c r="F14" i="6"/>
  <c r="A6" i="10"/>
  <c r="A26" i="10"/>
  <c r="A24" i="10"/>
  <c r="A22" i="10"/>
  <c r="A21" i="10"/>
  <c r="O3" i="8"/>
  <c r="F23" i="8"/>
  <c r="M9" i="8"/>
  <c r="L9" i="8"/>
  <c r="K9" i="8"/>
  <c r="J9" i="8"/>
  <c r="I9" i="8"/>
  <c r="B9" i="8"/>
  <c r="D11" i="9"/>
  <c r="C15" i="10" s="1"/>
  <c r="D10" i="9"/>
  <c r="D9" i="9"/>
  <c r="D8" i="9"/>
  <c r="D7" i="9"/>
  <c r="D6" i="9"/>
  <c r="D5" i="9"/>
  <c r="D4" i="9"/>
  <c r="D3" i="9"/>
  <c r="D2" i="9"/>
  <c r="D1" i="9"/>
  <c r="G19" i="6"/>
  <c r="G20" i="6"/>
  <c r="G21" i="6"/>
  <c r="G22" i="6"/>
  <c r="G23" i="6"/>
  <c r="G24" i="6"/>
  <c r="G25" i="6"/>
  <c r="G26" i="6"/>
  <c r="G27" i="6"/>
  <c r="G28" i="6"/>
  <c r="G29" i="6"/>
  <c r="G31" i="6"/>
  <c r="G32" i="6"/>
  <c r="G33" i="6"/>
  <c r="G34" i="6"/>
  <c r="G35" i="6"/>
  <c r="G36" i="6"/>
  <c r="G37" i="6"/>
  <c r="G18" i="6"/>
  <c r="C18" i="10" l="1"/>
  <c r="C19" i="10"/>
  <c r="A31" i="10" s="1"/>
  <c r="G17" i="10"/>
  <c r="N9" i="8"/>
  <c r="O9" i="8" s="1"/>
  <c r="W51" i="6"/>
  <c r="L51" i="6"/>
  <c r="U51" i="6" s="1"/>
  <c r="I51" i="6"/>
  <c r="G51" i="6"/>
  <c r="W50" i="6"/>
  <c r="L50" i="6"/>
  <c r="U50" i="6" s="1"/>
  <c r="I50" i="6"/>
  <c r="G50" i="6"/>
  <c r="W49" i="6"/>
  <c r="L49" i="6"/>
  <c r="U49" i="6" s="1"/>
  <c r="I49" i="6"/>
  <c r="G49" i="6"/>
  <c r="W48" i="6"/>
  <c r="L48" i="6"/>
  <c r="U48" i="6" s="1"/>
  <c r="I48" i="6"/>
  <c r="G48" i="6"/>
  <c r="W47" i="6"/>
  <c r="L47" i="6"/>
  <c r="U47" i="6" s="1"/>
  <c r="I47" i="6"/>
  <c r="G47" i="6"/>
  <c r="W46" i="6"/>
  <c r="L46" i="6"/>
  <c r="U46" i="6" s="1"/>
  <c r="I46" i="6"/>
  <c r="G46" i="6"/>
  <c r="W45" i="6"/>
  <c r="L45" i="6"/>
  <c r="U45" i="6" s="1"/>
  <c r="I45" i="6"/>
  <c r="G45" i="6"/>
  <c r="W44" i="6"/>
  <c r="L44" i="6"/>
  <c r="U44" i="6" s="1"/>
  <c r="I44" i="6"/>
  <c r="G44" i="6"/>
  <c r="W43" i="6"/>
  <c r="L43" i="6"/>
  <c r="U43" i="6" s="1"/>
  <c r="I43" i="6"/>
  <c r="G43" i="6"/>
  <c r="W42" i="6"/>
  <c r="L42" i="6"/>
  <c r="U42" i="6" s="1"/>
  <c r="I42" i="6"/>
  <c r="G42" i="6"/>
  <c r="W41" i="6"/>
  <c r="L41" i="6"/>
  <c r="U41" i="6" s="1"/>
  <c r="I41" i="6"/>
  <c r="G41" i="6"/>
  <c r="W40" i="6"/>
  <c r="L40" i="6"/>
  <c r="U40" i="6" s="1"/>
  <c r="I40" i="6"/>
  <c r="G40" i="6"/>
  <c r="W39" i="6"/>
  <c r="L39" i="6"/>
  <c r="U39" i="6" s="1"/>
  <c r="I39" i="6"/>
  <c r="G39" i="6"/>
  <c r="W38" i="6"/>
  <c r="L38" i="6"/>
  <c r="U38" i="6" s="1"/>
  <c r="I38" i="6"/>
  <c r="G38" i="6"/>
  <c r="W37" i="6"/>
  <c r="L37" i="6"/>
  <c r="U37" i="6" s="1"/>
  <c r="I37" i="6"/>
  <c r="W36" i="6"/>
  <c r="L36" i="6"/>
  <c r="U36" i="6" s="1"/>
  <c r="I36" i="6"/>
  <c r="W35" i="6"/>
  <c r="L35" i="6"/>
  <c r="U35" i="6" s="1"/>
  <c r="I35" i="6"/>
  <c r="W34" i="6"/>
  <c r="L34" i="6"/>
  <c r="U34" i="6" s="1"/>
  <c r="I34" i="6"/>
  <c r="W33" i="6"/>
  <c r="I33" i="6"/>
  <c r="W32" i="6"/>
  <c r="I32" i="6"/>
  <c r="W31" i="6"/>
  <c r="I31" i="6"/>
  <c r="W29" i="6"/>
  <c r="I29" i="6"/>
  <c r="W28" i="6"/>
  <c r="I28" i="6"/>
  <c r="W27" i="6"/>
  <c r="I27" i="6"/>
  <c r="W26" i="6"/>
  <c r="I26" i="6"/>
  <c r="W25" i="6"/>
  <c r="I25" i="6"/>
  <c r="W24" i="6"/>
  <c r="I24" i="6"/>
  <c r="W23" i="6"/>
  <c r="I23" i="6"/>
  <c r="W22" i="6"/>
  <c r="I22" i="6"/>
  <c r="W21" i="6"/>
  <c r="I21" i="6"/>
  <c r="W20" i="6"/>
  <c r="I20" i="6"/>
  <c r="W19" i="6"/>
  <c r="I19" i="6"/>
  <c r="W18" i="6"/>
  <c r="I18" i="6"/>
  <c r="H51" i="6"/>
  <c r="D12" i="6"/>
  <c r="D11" i="6"/>
  <c r="D10" i="6"/>
  <c r="D9" i="6"/>
  <c r="D8" i="6"/>
  <c r="D7" i="6"/>
  <c r="D6" i="6"/>
  <c r="D5" i="6"/>
  <c r="D4" i="6"/>
  <c r="D3" i="6"/>
  <c r="D2" i="6"/>
  <c r="G18" i="10" l="1"/>
  <c r="A29" i="10" s="1"/>
  <c r="B31" i="10"/>
  <c r="D31" i="10" s="1"/>
  <c r="C8" i="10"/>
  <c r="B8" i="10"/>
  <c r="A8" i="10"/>
  <c r="J43" i="6"/>
  <c r="K43" i="6" s="1"/>
  <c r="S43" i="6" s="1"/>
  <c r="AB43" i="6" s="1"/>
  <c r="J44" i="6"/>
  <c r="K44" i="6" s="1"/>
  <c r="S44" i="6" s="1"/>
  <c r="AB44" i="6" s="1"/>
  <c r="J31" i="6"/>
  <c r="K31" i="6" s="1"/>
  <c r="S31" i="6" s="1"/>
  <c r="J32" i="6"/>
  <c r="K32" i="6" s="1"/>
  <c r="S32" i="6" s="1"/>
  <c r="J47" i="6"/>
  <c r="K47" i="6" s="1"/>
  <c r="S47" i="6" s="1"/>
  <c r="AB47" i="6" s="1"/>
  <c r="J48" i="6"/>
  <c r="K48" i="6" s="1"/>
  <c r="S48" i="6" s="1"/>
  <c r="AB48" i="6" s="1"/>
  <c r="J25" i="6"/>
  <c r="K25" i="6" s="1"/>
  <c r="S25" i="6" s="1"/>
  <c r="J26" i="6"/>
  <c r="K26" i="6" s="1"/>
  <c r="S26" i="6" s="1"/>
  <c r="J35" i="6"/>
  <c r="K35" i="6" s="1"/>
  <c r="S35" i="6" s="1"/>
  <c r="AB35" i="6" s="1"/>
  <c r="J36" i="6"/>
  <c r="K36" i="6" s="1"/>
  <c r="S36" i="6" s="1"/>
  <c r="AB36" i="6" s="1"/>
  <c r="J51" i="6"/>
  <c r="K51" i="6" s="1"/>
  <c r="S51" i="6" s="1"/>
  <c r="AB51" i="6" s="1"/>
  <c r="J39" i="6"/>
  <c r="K39" i="6" s="1"/>
  <c r="S39" i="6" s="1"/>
  <c r="AB39" i="6" s="1"/>
  <c r="J40" i="6"/>
  <c r="K40" i="6" s="1"/>
  <c r="S40" i="6" s="1"/>
  <c r="AB40" i="6" s="1"/>
  <c r="E5" i="6"/>
  <c r="E6" i="6"/>
  <c r="E9" i="6"/>
  <c r="E11" i="6"/>
  <c r="E12" i="6"/>
  <c r="J27" i="6"/>
  <c r="K27" i="6" s="1"/>
  <c r="S27" i="6" s="1"/>
  <c r="J28" i="6"/>
  <c r="K28" i="6" s="1"/>
  <c r="S28" i="6" s="1"/>
  <c r="J33" i="6"/>
  <c r="K33" i="6" s="1"/>
  <c r="S33" i="6" s="1"/>
  <c r="J34" i="6"/>
  <c r="K34" i="6" s="1"/>
  <c r="S34" i="6" s="1"/>
  <c r="AB34" i="6" s="1"/>
  <c r="J41" i="6"/>
  <c r="K41" i="6" s="1"/>
  <c r="S41" i="6" s="1"/>
  <c r="AB41" i="6" s="1"/>
  <c r="J42" i="6"/>
  <c r="K42" i="6" s="1"/>
  <c r="S42" i="6" s="1"/>
  <c r="AB42" i="6" s="1"/>
  <c r="J49" i="6"/>
  <c r="K49" i="6" s="1"/>
  <c r="S49" i="6" s="1"/>
  <c r="AB49" i="6" s="1"/>
  <c r="J50" i="6"/>
  <c r="K50" i="6" s="1"/>
  <c r="S50" i="6" s="1"/>
  <c r="AB50" i="6" s="1"/>
  <c r="E2" i="6"/>
  <c r="E3" i="6"/>
  <c r="E4" i="6"/>
  <c r="E7" i="6"/>
  <c r="E8" i="6"/>
  <c r="E10" i="6"/>
  <c r="J23" i="6"/>
  <c r="K23" i="6" s="1"/>
  <c r="S23" i="6" s="1"/>
  <c r="J24" i="6"/>
  <c r="K24" i="6" s="1"/>
  <c r="S24" i="6" s="1"/>
  <c r="J29" i="6"/>
  <c r="K29" i="6" s="1"/>
  <c r="S29" i="6" s="1"/>
  <c r="S30" i="6"/>
  <c r="J37" i="6"/>
  <c r="K37" i="6" s="1"/>
  <c r="S37" i="6" s="1"/>
  <c r="AB37" i="6" s="1"/>
  <c r="J38" i="6"/>
  <c r="K38" i="6" s="1"/>
  <c r="S38" i="6" s="1"/>
  <c r="AB38" i="6" s="1"/>
  <c r="J45" i="6"/>
  <c r="K45" i="6" s="1"/>
  <c r="S45" i="6" s="1"/>
  <c r="AB45" i="6" s="1"/>
  <c r="J46" i="6"/>
  <c r="K46" i="6" s="1"/>
  <c r="S46" i="6" s="1"/>
  <c r="AB46" i="6" s="1"/>
  <c r="J18" i="6"/>
  <c r="K18" i="6" s="1"/>
  <c r="S18" i="6" s="1"/>
  <c r="J22" i="6"/>
  <c r="K22" i="6" s="1"/>
  <c r="S22" i="6" s="1"/>
  <c r="J21" i="6"/>
  <c r="K21" i="6" s="1"/>
  <c r="S21" i="6" s="1"/>
  <c r="J20" i="6"/>
  <c r="K20" i="6" s="1"/>
  <c r="S20" i="6" s="1"/>
  <c r="J19" i="6"/>
  <c r="K19" i="6" s="1"/>
  <c r="S19" i="6" s="1"/>
  <c r="H18" i="6"/>
  <c r="H20" i="6"/>
  <c r="H22" i="6"/>
  <c r="H24" i="6"/>
  <c r="H26" i="6"/>
  <c r="H28" i="6"/>
  <c r="H32" i="6"/>
  <c r="H34" i="6"/>
  <c r="H36" i="6"/>
  <c r="H38" i="6"/>
  <c r="H40" i="6"/>
  <c r="H42" i="6"/>
  <c r="H44" i="6"/>
  <c r="H46" i="6"/>
  <c r="H48" i="6"/>
  <c r="H50" i="6"/>
  <c r="H19" i="6"/>
  <c r="H21" i="6"/>
  <c r="H23" i="6"/>
  <c r="H25" i="6"/>
  <c r="H27" i="6"/>
  <c r="H29" i="6"/>
  <c r="H31" i="6"/>
  <c r="H33" i="6"/>
  <c r="H35" i="6"/>
  <c r="H37" i="6"/>
  <c r="H39" i="6"/>
  <c r="H41" i="6"/>
  <c r="H43" i="6"/>
  <c r="H45" i="6"/>
  <c r="H47" i="6"/>
  <c r="H49" i="6"/>
  <c r="A33" i="10" l="1"/>
  <c r="D8" i="10"/>
  <c r="A10" i="10" s="1"/>
  <c r="L27" i="6"/>
  <c r="U27" i="6" s="1"/>
  <c r="AB27" i="6" s="1"/>
  <c r="L33" i="6"/>
  <c r="U33" i="6" s="1"/>
  <c r="AB33" i="6" s="1"/>
  <c r="L31" i="6"/>
  <c r="U31" i="6" s="1"/>
  <c r="AB31" i="6" s="1"/>
  <c r="U30" i="6"/>
  <c r="AB30" i="6" s="1"/>
  <c r="L29" i="6"/>
  <c r="U29" i="6" s="1"/>
  <c r="AB29" i="6" s="1"/>
  <c r="L28" i="6"/>
  <c r="U28" i="6" s="1"/>
  <c r="AB28" i="6" s="1"/>
  <c r="L26" i="6"/>
  <c r="U26" i="6" s="1"/>
  <c r="AB26" i="6" s="1"/>
  <c r="L24" i="6"/>
  <c r="U24" i="6" s="1"/>
  <c r="AB24" i="6" s="1"/>
  <c r="L23" i="6"/>
  <c r="U23" i="6" s="1"/>
  <c r="AB23" i="6" s="1"/>
  <c r="L32" i="6"/>
  <c r="U32" i="6" s="1"/>
  <c r="AB32" i="6" s="1"/>
  <c r="L25" i="6"/>
  <c r="U25" i="6" s="1"/>
  <c r="AB25" i="6" s="1"/>
  <c r="L22" i="6"/>
  <c r="U22" i="6" s="1"/>
  <c r="AB22" i="6" s="1"/>
  <c r="L21" i="6"/>
  <c r="U21" i="6" s="1"/>
  <c r="AB21" i="6" s="1"/>
  <c r="L20" i="6"/>
  <c r="U20" i="6" s="1"/>
  <c r="AB20" i="6" s="1"/>
  <c r="L19" i="6"/>
  <c r="U19" i="6" s="1"/>
  <c r="AB19" i="6" s="1"/>
  <c r="L18" i="6"/>
  <c r="U18" i="6" s="1"/>
  <c r="AB18" i="6" s="1"/>
</calcChain>
</file>

<file path=xl/sharedStrings.xml><?xml version="1.0" encoding="utf-8"?>
<sst xmlns="http://schemas.openxmlformats.org/spreadsheetml/2006/main" count="537" uniqueCount="131">
  <si>
    <t>dum</t>
  </si>
  <si>
    <t>honk</t>
  </si>
  <si>
    <t>pop</t>
  </si>
  <si>
    <t>chirp</t>
  </si>
  <si>
    <t>boing</t>
  </si>
  <si>
    <t>clank</t>
  </si>
  <si>
    <t>ping</t>
  </si>
  <si>
    <t>quack</t>
  </si>
  <si>
    <t>yoink</t>
  </si>
  <si>
    <t>WORDS</t>
  </si>
  <si>
    <t>PITCH LO</t>
  </si>
  <si>
    <t>jink</t>
  </si>
  <si>
    <t>Column3</t>
  </si>
  <si>
    <t>Column4</t>
  </si>
  <si>
    <t>MS</t>
  </si>
  <si>
    <t>Column1</t>
  </si>
  <si>
    <t>Column2</t>
  </si>
  <si>
    <t>SYLLABLES</t>
  </si>
  <si>
    <t>PITHCES</t>
  </si>
  <si>
    <t>Bb2</t>
  </si>
  <si>
    <t>B2</t>
  </si>
  <si>
    <t>C3</t>
  </si>
  <si>
    <t>Dd3</t>
  </si>
  <si>
    <t>D3</t>
  </si>
  <si>
    <t>Eb3</t>
  </si>
  <si>
    <t>E3</t>
  </si>
  <si>
    <t>F3</t>
  </si>
  <si>
    <t>Gb3</t>
  </si>
  <si>
    <t>G3</t>
  </si>
  <si>
    <t>Ab3</t>
  </si>
  <si>
    <t>A3</t>
  </si>
  <si>
    <t>Bb3</t>
  </si>
  <si>
    <t>B3</t>
  </si>
  <si>
    <t>C4</t>
  </si>
  <si>
    <t>Db4</t>
  </si>
  <si>
    <t>D4</t>
  </si>
  <si>
    <t>Eb4</t>
  </si>
  <si>
    <t>E4</t>
  </si>
  <si>
    <t>F4</t>
  </si>
  <si>
    <t>Gb4</t>
  </si>
  <si>
    <t>G4</t>
  </si>
  <si>
    <t>Ab4</t>
  </si>
  <si>
    <t>A4</t>
  </si>
  <si>
    <t>Bb4</t>
  </si>
  <si>
    <t>B4</t>
  </si>
  <si>
    <t>C5</t>
  </si>
  <si>
    <t>X</t>
  </si>
  <si>
    <t>x</t>
  </si>
  <si>
    <t>Silent Before</t>
  </si>
  <si>
    <t>Silent After</t>
  </si>
  <si>
    <t>TEMPO</t>
  </si>
  <si>
    <t>MS BASE</t>
  </si>
  <si>
    <t>%</t>
  </si>
  <si>
    <t>Db3</t>
  </si>
  <si>
    <t>C#3</t>
  </si>
  <si>
    <t>D#3</t>
  </si>
  <si>
    <t>F#3</t>
  </si>
  <si>
    <t>G#3</t>
  </si>
  <si>
    <t>A#3</t>
  </si>
  <si>
    <t>C#4</t>
  </si>
  <si>
    <t>D#4</t>
  </si>
  <si>
    <t>F#4</t>
  </si>
  <si>
    <t>G#4</t>
  </si>
  <si>
    <t>A#4</t>
  </si>
  <si>
    <t>Abs Note</t>
  </si>
  <si>
    <t>Abs Pitch</t>
  </si>
  <si>
    <t>Syllable</t>
  </si>
  <si>
    <t>Duration</t>
  </si>
  <si>
    <t>Rel Pitch</t>
  </si>
  <si>
    <t xml:space="preserve">Base </t>
  </si>
  <si>
    <t>+7</t>
  </si>
  <si>
    <t>+14</t>
  </si>
  <si>
    <t>+21</t>
  </si>
  <si>
    <t>+28</t>
  </si>
  <si>
    <t>+37</t>
  </si>
  <si>
    <t>+44</t>
  </si>
  <si>
    <t>+50</t>
  </si>
  <si>
    <t>&lt;prosody pitch="</t>
  </si>
  <si>
    <t>" rate="</t>
  </si>
  <si>
    <t>Pitch Pct</t>
  </si>
  <si>
    <t>Rate Pct</t>
  </si>
  <si>
    <t>&lt;/say-as&gt; &lt;/prosody&gt;</t>
  </si>
  <si>
    <t>"&gt;&lt;say-as interpret-as="interjection"&gt;</t>
  </si>
  <si>
    <t>+0</t>
  </si>
  <si>
    <t>&lt;prosody volume="silent" pitch="+0%" rate="5000%"&gt;&lt;say-as interpret-as="interjection"&gt;jink&lt;/say-as&gt; &lt;/prosody&gt;</t>
  </si>
  <si>
    <t>Note</t>
  </si>
  <si>
    <t>zoink</t>
  </si>
  <si>
    <t>Staccato</t>
  </si>
  <si>
    <t>BPM</t>
  </si>
  <si>
    <t>Column5</t>
  </si>
  <si>
    <t>Column6</t>
  </si>
  <si>
    <t>Value</t>
  </si>
  <si>
    <t>Tempo</t>
  </si>
  <si>
    <t>rest</t>
  </si>
  <si>
    <t>16th</t>
  </si>
  <si>
    <t>8th</t>
  </si>
  <si>
    <t>qtr</t>
  </si>
  <si>
    <t>half</t>
  </si>
  <si>
    <t>wh</t>
  </si>
  <si>
    <t>dot</t>
  </si>
  <si>
    <t>Transpose</t>
  </si>
  <si>
    <t>Base MS</t>
  </si>
  <si>
    <t>Pitch</t>
  </si>
  <si>
    <t>IsStac</t>
  </si>
  <si>
    <t>Output:</t>
  </si>
  <si>
    <t>Repeat commas</t>
  </si>
  <si>
    <t>Start with comma</t>
  </si>
  <si>
    <t>End with comma</t>
  </si>
  <si>
    <t>s</t>
  </si>
  <si>
    <t>sd</t>
  </si>
  <si>
    <t>e</t>
  </si>
  <si>
    <t>ed</t>
  </si>
  <si>
    <t>q</t>
  </si>
  <si>
    <t>qd</t>
  </si>
  <si>
    <t>h</t>
  </si>
  <si>
    <t>hd</t>
  </si>
  <si>
    <t>w</t>
  </si>
  <si>
    <t>Syllable MS</t>
  </si>
  <si>
    <t>q MS</t>
  </si>
  <si>
    <t>Value MS</t>
  </si>
  <si>
    <t>32nds</t>
  </si>
  <si>
    <t>Rate %</t>
  </si>
  <si>
    <t>RATE</t>
  </si>
  <si>
    <t>Pitch Nbr</t>
  </si>
  <si>
    <t>Syllable Lowest</t>
  </si>
  <si>
    <t>Pitch Number</t>
  </si>
  <si>
    <t>Pitch %</t>
  </si>
  <si>
    <t>&lt;say-as interpret-as="interjection"&gt;</t>
  </si>
  <si>
    <t>rate ok</t>
  </si>
  <si>
    <t>pitch ok</t>
  </si>
  <si>
    <t>syllable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</si>
</sst>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quotePrefix="1"/>
    <xf numFmtId="0" fontId="1" fillId="3" borderId="0" xfId="0" applyFont="1" applyFill="1" applyAlignment="1">
      <alignment horizontal="right"/>
    </xf>
    <xf numFmtId="0" fontId="2" fillId="0" borderId="0" xfId="0" applyFont="1"/>
    <xf numFmtId="0" fontId="2" fillId="0" borderId="0" xfId="0" quotePrefix="1" applyFont="1"/>
    <xf numFmtId="0" fontId="0" fillId="4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/>
    <xf numFmtId="0" fontId="7" fillId="0" borderId="0" xfId="0" applyFont="1"/>
    <xf numFmtId="0" fontId="0" fillId="5" borderId="0" xfId="0" applyFill="1"/>
    <xf numFmtId="0" fontId="0" fillId="0" borderId="0" xfId="0" quotePrefix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ont="1" applyFill="1"/>
    <xf numFmtId="0" fontId="6" fillId="5" borderId="0" xfId="0" applyFont="1" applyFill="1"/>
    <xf numFmtId="0" fontId="0" fillId="6" borderId="0" xfId="0" applyFont="1" applyFill="1"/>
    <xf numFmtId="0" fontId="0" fillId="0" borderId="0" xfId="0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Table Style 1" pivot="0" count="0" xr9:uid="{BF2A7850-CAC4-4BEC-8791-6913C5DA31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4B7A7C-7CD9-405D-B199-2E44A1F1918C}" name="Table2678" displayName="Table2678" ref="A1:AP12" totalsRowShown="0" headerRowDxfId="56" dataDxfId="55">
  <autoFilter ref="A1:AP12" xr:uid="{B50D52E6-5AE1-4F0F-901B-96ADD09C0335}"/>
  <sortState ref="A2:AP12">
    <sortCondition ref="A1:A12"/>
  </sortState>
  <tableColumns count="42">
    <tableColumn id="1" xr3:uid="{B4880917-B4F7-4DEB-9ABB-611F7F7203D8}" name="WORDS" dataDxfId="54"/>
    <tableColumn id="3" xr3:uid="{32259E37-1118-474D-89DB-1CFF7C49768A}" name="PITCH LO" dataDxfId="53"/>
    <tableColumn id="4" xr3:uid="{30F917EE-D9B6-4CD4-A1BF-8170B50C1779}" name="BPM" dataDxfId="52"/>
    <tableColumn id="5" xr3:uid="{A253ABB1-F410-43AE-8E26-0A2140D4AB89}" name="MS" dataDxfId="51">
      <calculatedColumnFormula>INT((60/C2)*1000)</calculatedColumnFormula>
    </tableColumn>
    <tableColumn id="6" xr3:uid="{62856941-85E8-4B8F-B7E8-429D01C3F29C}" name="%" dataDxfId="50">
      <calculatedColumnFormula>ROUND(D2/$F$14,2)*100</calculatedColumnFormula>
    </tableColumn>
    <tableColumn id="7" xr3:uid="{8D94CFBB-A7DF-450F-B015-5F3FAE7D94F4}" name="Column1" dataDxfId="49"/>
    <tableColumn id="8" xr3:uid="{D02B0ECE-9033-4153-AB1E-368D871F26ED}" name="Column2" dataDxfId="48"/>
    <tableColumn id="9" xr3:uid="{A20AB837-EFC2-444A-A3BC-AC55E419D3B2}" name="Column5" dataDxfId="47"/>
    <tableColumn id="10" xr3:uid="{601A8E43-F0F7-41DA-A945-DD94E2F73C7B}" name="Column6" dataDxfId="46"/>
    <tableColumn id="11" xr3:uid="{4D178D3E-4B0E-4D18-9755-5B6249C2A800}" name="Column3" dataDxfId="45"/>
    <tableColumn id="12" xr3:uid="{EF627133-FB0F-4A19-BAA1-9368326CAB44}" name="Column4" dataDxfId="44"/>
    <tableColumn id="13" xr3:uid="{CF653C2E-7093-4F8A-AB63-73DEF4600F8A}" name="SYLLABLES" dataDxfId="43"/>
    <tableColumn id="14" xr3:uid="{E7E08771-DCC8-4BB0-B865-92E96F73421D}" name="PITHCES" dataDxfId="42"/>
    <tableColumn id="43" xr3:uid="{6F36B12A-F070-4756-A8E0-929CB5250757}" name="Silent Before"/>
    <tableColumn id="44" xr3:uid="{AEE9F06E-9F41-4741-95D0-1AE0ED6A37FE}" name="Silent After"/>
    <tableColumn id="15" xr3:uid="{F80A4AE6-98C5-4A9A-9770-6C7AD16440BB}" name="Bb2" dataDxfId="41"/>
    <tableColumn id="16" xr3:uid="{177E2674-21AE-432B-9B2D-67DC11C7F545}" name="B2" dataDxfId="40"/>
    <tableColumn id="17" xr3:uid="{16C02FF5-7B0E-4C8C-B77B-FC9A069F797A}" name="C3" dataDxfId="39"/>
    <tableColumn id="18" xr3:uid="{DB5DBDFD-DD33-4BA4-B2CD-D688E6EED711}" name="Dd3" dataDxfId="38"/>
    <tableColumn id="19" xr3:uid="{25DEA5A8-CD58-477F-A125-0D618D72AE34}" name="D3" dataDxfId="37"/>
    <tableColumn id="20" xr3:uid="{9267378C-0A18-4E0C-9D1F-74B68E7A6DE0}" name="Eb3" dataDxfId="36"/>
    <tableColumn id="21" xr3:uid="{DEAAA1AF-B1C2-4B7B-8066-03BE78DADA63}" name="E3" dataDxfId="35"/>
    <tableColumn id="22" xr3:uid="{5711FC13-16D8-4161-9156-951B4ACF1206}" name="F3" dataDxfId="34"/>
    <tableColumn id="23" xr3:uid="{BA763C8F-1D74-4034-B860-5FA228D7EB3E}" name="Gb3" dataDxfId="33"/>
    <tableColumn id="24" xr3:uid="{0453318E-978F-4F97-8DDA-325EC61DAD2A}" name="G3" dataDxfId="32"/>
    <tableColumn id="25" xr3:uid="{7578B9A6-7B8D-41FF-9D2B-0FDF406F04F2}" name="Ab3" dataDxfId="31"/>
    <tableColumn id="26" xr3:uid="{A5010FA9-BDB2-4039-9EE4-BD6BA6E09EAD}" name="A3" dataDxfId="30"/>
    <tableColumn id="27" xr3:uid="{CC4E0601-3DD9-44F5-ACC6-C23A951074DD}" name="Bb3" dataDxfId="29"/>
    <tableColumn id="28" xr3:uid="{3D74714A-E53E-47C4-806A-5C1F4DEE3E6D}" name="B3" dataDxfId="28"/>
    <tableColumn id="29" xr3:uid="{89372898-F805-4E65-A462-BEA94A1211FA}" name="C4" dataDxfId="27"/>
    <tableColumn id="30" xr3:uid="{3456A28E-8284-48C4-858D-67A35914259C}" name="Db4" dataDxfId="26"/>
    <tableColumn id="31" xr3:uid="{DBB7FABD-428B-4CC3-977A-99F072BB97F7}" name="D4" dataDxfId="25"/>
    <tableColumn id="32" xr3:uid="{6215A4B5-F048-498C-B9E9-B78D83578490}" name="Eb4" dataDxfId="24"/>
    <tableColumn id="33" xr3:uid="{13BBEF75-13E7-498F-924E-0F9CF948FB99}" name="E4" dataDxfId="23"/>
    <tableColumn id="34" xr3:uid="{C9F7929D-EAC4-4ED5-BB97-24F674668503}" name="F4" dataDxfId="22"/>
    <tableColumn id="35" xr3:uid="{0A995465-313A-478C-B73F-6C6FA12F6ECA}" name="Gb4" dataDxfId="21"/>
    <tableColumn id="36" xr3:uid="{3D2DEB3C-320C-400D-8821-ACCD0E08AD51}" name="G4" dataDxfId="20"/>
    <tableColumn id="37" xr3:uid="{72D6330D-3B63-4BD2-8E07-89F0B0E6F778}" name="Ab4" dataDxfId="19"/>
    <tableColumn id="38" xr3:uid="{B7A02E01-C6E5-4A80-A9C5-280368CEEC79}" name="A4" dataDxfId="18"/>
    <tableColumn id="39" xr3:uid="{B0391712-AA4C-4114-869A-81145F1B96E6}" name="Bb4" dataDxfId="17"/>
    <tableColumn id="40" xr3:uid="{57E1D533-FC08-4A03-9DCB-C19E07347062}" name="B4" dataDxfId="16"/>
    <tableColumn id="41" xr3:uid="{5F22C32B-587D-4C58-BE80-BB0BB077EF53}" name="C5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922C3D-EA3E-471B-9465-A7590E9D72AE}" name="Table4" displayName="Table4" ref="A1:B39" totalsRowShown="0">
  <autoFilter ref="A1:B39" xr:uid="{AB0602D5-2936-468B-AF0F-6ADEC71548A6}"/>
  <sortState ref="A2:B39">
    <sortCondition ref="A2:A38"/>
  </sortState>
  <tableColumns count="2">
    <tableColumn id="1" xr3:uid="{7BAB5271-4764-4C89-87EF-D70FF395E813}" name="Column1"/>
    <tableColumn id="2" xr3:uid="{5EE5CDF1-3912-4AFB-BEA1-69CFC573306E}" name="Column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B916-B8B3-4051-845C-A965AC51A8B0}">
  <sheetPr codeName="Sheet6"/>
  <dimension ref="A1:AP51"/>
  <sheetViews>
    <sheetView zoomScale="80" zoomScaleNormal="80" workbookViewId="0">
      <selection activeCell="G18" sqref="G18"/>
    </sheetView>
  </sheetViews>
  <sheetFormatPr defaultRowHeight="15" x14ac:dyDescent="0.25"/>
  <cols>
    <col min="1" max="1" width="9.85546875" customWidth="1"/>
    <col min="2" max="2" width="12" customWidth="1"/>
    <col min="3" max="4" width="11.7109375" customWidth="1"/>
    <col min="5" max="5" width="11.7109375" style="1" customWidth="1"/>
    <col min="6" max="6" width="10.140625" customWidth="1"/>
    <col min="9" max="9" width="9.28515625" customWidth="1"/>
    <col min="10" max="11" width="11" customWidth="1"/>
    <col min="12" max="12" width="9.42578125" customWidth="1"/>
    <col min="13" max="15" width="6" customWidth="1"/>
    <col min="16" max="42" width="7" customWidth="1"/>
  </cols>
  <sheetData>
    <row r="1" spans="1:42" x14ac:dyDescent="0.25">
      <c r="A1" t="s">
        <v>9</v>
      </c>
      <c r="B1" t="s">
        <v>10</v>
      </c>
      <c r="C1" t="s">
        <v>88</v>
      </c>
      <c r="D1" t="s">
        <v>14</v>
      </c>
      <c r="E1" t="s">
        <v>52</v>
      </c>
      <c r="F1" t="s">
        <v>15</v>
      </c>
      <c r="G1" t="s">
        <v>16</v>
      </c>
      <c r="H1" t="s">
        <v>89</v>
      </c>
      <c r="I1" t="s">
        <v>90</v>
      </c>
      <c r="J1" t="s">
        <v>12</v>
      </c>
      <c r="K1" t="s">
        <v>13</v>
      </c>
      <c r="L1" t="s">
        <v>17</v>
      </c>
      <c r="M1" t="s">
        <v>18</v>
      </c>
      <c r="N1" t="s">
        <v>48</v>
      </c>
      <c r="O1" t="s">
        <v>49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</row>
    <row r="2" spans="1:42" x14ac:dyDescent="0.25">
      <c r="A2" t="s">
        <v>4</v>
      </c>
      <c r="B2">
        <v>21</v>
      </c>
      <c r="C2">
        <v>96</v>
      </c>
      <c r="D2">
        <f t="shared" ref="D2:D12" si="0">INT((60/C2)*1000)</f>
        <v>625</v>
      </c>
      <c r="E2">
        <f>ROUND(D2/$F$14,2)*100</f>
        <v>172</v>
      </c>
      <c r="Z2" t="s">
        <v>47</v>
      </c>
      <c r="AA2" t="s">
        <v>47</v>
      </c>
      <c r="AB2" t="s">
        <v>47</v>
      </c>
      <c r="AC2" t="s">
        <v>47</v>
      </c>
      <c r="AD2" t="s">
        <v>47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</row>
    <row r="3" spans="1:42" x14ac:dyDescent="0.25">
      <c r="A3" t="s">
        <v>3</v>
      </c>
      <c r="B3">
        <v>25</v>
      </c>
      <c r="C3">
        <v>180</v>
      </c>
      <c r="D3">
        <f t="shared" si="0"/>
        <v>333</v>
      </c>
      <c r="E3">
        <f>ROUND(D3/$F$14,2)*100</f>
        <v>91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  <c r="AI3" t="s">
        <v>47</v>
      </c>
      <c r="AJ3" t="s">
        <v>47</v>
      </c>
      <c r="AK3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</row>
    <row r="4" spans="1:42" x14ac:dyDescent="0.25">
      <c r="A4" t="s">
        <v>5</v>
      </c>
      <c r="B4">
        <v>21</v>
      </c>
      <c r="C4">
        <v>128</v>
      </c>
      <c r="D4">
        <f t="shared" si="0"/>
        <v>468</v>
      </c>
      <c r="E4">
        <f>ROUND(D4/$F$14,2)*100</f>
        <v>129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  <c r="AH4" t="s">
        <v>47</v>
      </c>
      <c r="AI4" t="s">
        <v>47</v>
      </c>
      <c r="AJ4" t="s">
        <v>47</v>
      </c>
      <c r="AK4" t="s">
        <v>47</v>
      </c>
      <c r="AL4" t="s">
        <v>47</v>
      </c>
      <c r="AM4" t="s">
        <v>47</v>
      </c>
    </row>
    <row r="5" spans="1:42" x14ac:dyDescent="0.25">
      <c r="A5" t="s">
        <v>0</v>
      </c>
      <c r="B5">
        <v>11</v>
      </c>
      <c r="C5">
        <v>137</v>
      </c>
      <c r="D5">
        <f t="shared" si="0"/>
        <v>437</v>
      </c>
      <c r="E5">
        <f>ROUND(D5/$F$14,2)*100</f>
        <v>120</v>
      </c>
      <c r="P5" t="s">
        <v>46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</row>
    <row r="6" spans="1:42" x14ac:dyDescent="0.25">
      <c r="A6" t="s">
        <v>1</v>
      </c>
      <c r="B6">
        <v>20</v>
      </c>
      <c r="C6">
        <v>85</v>
      </c>
      <c r="D6">
        <f t="shared" si="0"/>
        <v>705</v>
      </c>
      <c r="E6">
        <f>ROUND(D6/$F$14,2)*100</f>
        <v>194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  <c r="AH6" t="s">
        <v>47</v>
      </c>
      <c r="AI6" t="s">
        <v>47</v>
      </c>
      <c r="AJ6" t="s">
        <v>47</v>
      </c>
      <c r="AK6" t="s">
        <v>47</v>
      </c>
      <c r="AL6" s="1" t="s">
        <v>47</v>
      </c>
    </row>
    <row r="7" spans="1:42" x14ac:dyDescent="0.25">
      <c r="A7" t="s">
        <v>11</v>
      </c>
      <c r="B7">
        <v>23</v>
      </c>
      <c r="C7">
        <v>169</v>
      </c>
      <c r="D7">
        <f t="shared" si="0"/>
        <v>355</v>
      </c>
      <c r="E7">
        <f>ROUND(D7/$F$14,2)*100</f>
        <v>98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  <c r="AH7" t="s">
        <v>47</v>
      </c>
      <c r="AI7" t="s">
        <v>47</v>
      </c>
      <c r="AJ7" t="s">
        <v>47</v>
      </c>
      <c r="AK7" t="s">
        <v>47</v>
      </c>
      <c r="AL7" t="s">
        <v>47</v>
      </c>
      <c r="AM7" t="s">
        <v>47</v>
      </c>
      <c r="AN7" t="s">
        <v>47</v>
      </c>
      <c r="AO7" t="s">
        <v>47</v>
      </c>
    </row>
    <row r="8" spans="1:42" x14ac:dyDescent="0.25">
      <c r="A8" t="s">
        <v>6</v>
      </c>
      <c r="B8">
        <v>23</v>
      </c>
      <c r="C8">
        <v>154</v>
      </c>
      <c r="D8">
        <f t="shared" si="0"/>
        <v>389</v>
      </c>
      <c r="E8">
        <f>ROUND(D8/$F$14,2)*100</f>
        <v>107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  <c r="AN8" t="s">
        <v>47</v>
      </c>
      <c r="AO8" t="s">
        <v>47</v>
      </c>
    </row>
    <row r="9" spans="1:42" x14ac:dyDescent="0.25">
      <c r="A9" t="s">
        <v>2</v>
      </c>
      <c r="B9">
        <v>21</v>
      </c>
      <c r="C9">
        <v>180</v>
      </c>
      <c r="D9">
        <f t="shared" si="0"/>
        <v>333</v>
      </c>
      <c r="E9">
        <f>ROUND(D9/$F$14,2)*100</f>
        <v>91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</row>
    <row r="10" spans="1:42" x14ac:dyDescent="0.25">
      <c r="A10" t="s">
        <v>7</v>
      </c>
      <c r="B10">
        <v>16</v>
      </c>
      <c r="C10">
        <v>156</v>
      </c>
      <c r="D10">
        <f t="shared" si="0"/>
        <v>384</v>
      </c>
      <c r="E10">
        <f>ROUND(D10/$F$14,2)*100</f>
        <v>105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  <c r="AH10" s="1" t="s">
        <v>47</v>
      </c>
    </row>
    <row r="11" spans="1:42" s="1" customFormat="1" x14ac:dyDescent="0.25">
      <c r="A11" t="s">
        <v>8</v>
      </c>
      <c r="B11">
        <v>20</v>
      </c>
      <c r="C11">
        <v>118</v>
      </c>
      <c r="D11">
        <f t="shared" si="0"/>
        <v>508</v>
      </c>
      <c r="E11">
        <f>ROUND(D11/$F$14,2)*100</f>
        <v>140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  <c r="AH11" t="s">
        <v>47</v>
      </c>
      <c r="AI11" t="s">
        <v>47</v>
      </c>
      <c r="AJ11" t="s">
        <v>47</v>
      </c>
      <c r="AK11" t="s">
        <v>47</v>
      </c>
      <c r="AL11" s="1" t="s">
        <v>47</v>
      </c>
      <c r="AM11"/>
      <c r="AN11"/>
      <c r="AO11"/>
      <c r="AP11"/>
    </row>
    <row r="12" spans="1:42" x14ac:dyDescent="0.25">
      <c r="A12" t="s">
        <v>86</v>
      </c>
      <c r="B12">
        <v>21</v>
      </c>
      <c r="C12">
        <v>146</v>
      </c>
      <c r="D12">
        <f t="shared" si="0"/>
        <v>410</v>
      </c>
      <c r="E12">
        <f>ROUND(D12/$F$14,2)*100</f>
        <v>112.99999999999999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</row>
    <row r="14" spans="1:42" x14ac:dyDescent="0.25">
      <c r="C14" t="s">
        <v>50</v>
      </c>
      <c r="D14" s="1">
        <v>165</v>
      </c>
      <c r="E14" s="1" t="s">
        <v>51</v>
      </c>
      <c r="F14" s="2">
        <f>ROUND(60000/D14,0)</f>
        <v>364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16</v>
      </c>
      <c r="V14">
        <v>17</v>
      </c>
      <c r="W14">
        <v>18</v>
      </c>
      <c r="X14">
        <v>19</v>
      </c>
      <c r="Y14">
        <v>20</v>
      </c>
      <c r="Z14">
        <v>21</v>
      </c>
      <c r="AA14">
        <v>22</v>
      </c>
      <c r="AB14">
        <v>23</v>
      </c>
      <c r="AC14">
        <v>24</v>
      </c>
      <c r="AD14">
        <v>25</v>
      </c>
      <c r="AE14">
        <v>26</v>
      </c>
      <c r="AF14">
        <v>27</v>
      </c>
      <c r="AG14">
        <v>28</v>
      </c>
      <c r="AH14">
        <v>29</v>
      </c>
      <c r="AI14">
        <v>30</v>
      </c>
      <c r="AJ14">
        <v>31</v>
      </c>
      <c r="AK14">
        <v>32</v>
      </c>
      <c r="AL14">
        <v>33</v>
      </c>
      <c r="AM14">
        <v>34</v>
      </c>
      <c r="AN14">
        <v>35</v>
      </c>
      <c r="AO14">
        <v>36</v>
      </c>
      <c r="AP14">
        <v>37</v>
      </c>
    </row>
    <row r="17" spans="3:28" x14ac:dyDescent="0.25">
      <c r="C17" t="s">
        <v>64</v>
      </c>
      <c r="D17" s="1" t="s">
        <v>66</v>
      </c>
      <c r="E17" t="s">
        <v>67</v>
      </c>
      <c r="F17" t="s">
        <v>87</v>
      </c>
      <c r="G17" s="3" t="s">
        <v>65</v>
      </c>
      <c r="H17" s="3" t="s">
        <v>14</v>
      </c>
      <c r="I17" s="3" t="s">
        <v>69</v>
      </c>
      <c r="J17" s="3" t="s">
        <v>68</v>
      </c>
      <c r="K17" s="3" t="s">
        <v>79</v>
      </c>
      <c r="L17" s="3" t="s">
        <v>80</v>
      </c>
      <c r="AB17" t="s">
        <v>84</v>
      </c>
    </row>
    <row r="18" spans="3:28" x14ac:dyDescent="0.25">
      <c r="C18" t="s">
        <v>31</v>
      </c>
      <c r="D18" s="16" t="s">
        <v>6</v>
      </c>
      <c r="E18" s="1">
        <v>0.5</v>
      </c>
      <c r="F18" s="11"/>
      <c r="G18" s="2">
        <f>VLOOKUP(C18,Table4[],2)</f>
        <v>23</v>
      </c>
      <c r="H18" s="2">
        <f t="shared" ref="H18:H51" si="1">E18*$F$14</f>
        <v>182</v>
      </c>
      <c r="I18" s="2">
        <f>VLOOKUP(D18,Table2678[[WORDS]:[PITCH LO]],2)</f>
        <v>23</v>
      </c>
      <c r="J18" s="2">
        <f t="shared" ref="J18:J51" si="2">G18-I18</f>
        <v>0</v>
      </c>
      <c r="K18" s="5">
        <f>VLOOKUP(J18,'Pitch Pcts'!$A$1:$B$13,2)</f>
        <v>-25</v>
      </c>
      <c r="L18" s="5">
        <f>ROUND(VLOOKUP(D18,Table2678[[WORDS]:[%]],5)/E18,0)</f>
        <v>214</v>
      </c>
      <c r="R18" s="6" t="s">
        <v>77</v>
      </c>
      <c r="S18" s="6" t="str">
        <f t="shared" ref="S18:S51" si="3">K18&amp;"%"</f>
        <v>-25%</v>
      </c>
      <c r="T18" s="7" t="s">
        <v>78</v>
      </c>
      <c r="U18" s="6" t="str">
        <f t="shared" ref="U18:U51" si="4">L18&amp;"%"</f>
        <v>214%</v>
      </c>
      <c r="V18" s="7" t="s">
        <v>82</v>
      </c>
      <c r="W18" s="6" t="str">
        <f>D18</f>
        <v>ping</v>
      </c>
      <c r="X18" s="6" t="s">
        <v>81</v>
      </c>
      <c r="Y18" s="6"/>
      <c r="Z18" s="6"/>
      <c r="AB18" s="1" t="str">
        <f t="shared" ref="AB18:AB51" si="5">R18&amp;S18&amp;T18&amp;U18&amp;V18&amp;W18&amp;X18</f>
        <v>&lt;prosody pitch="-25%" rate="214%"&gt;&lt;say-as interpret-as="interjection"&gt;ping&lt;/say-as&gt; &lt;/prosody&gt;</v>
      </c>
    </row>
    <row r="19" spans="3:28" x14ac:dyDescent="0.25">
      <c r="C19" t="s">
        <v>33</v>
      </c>
      <c r="D19" s="16" t="s">
        <v>6</v>
      </c>
      <c r="E19" s="1">
        <v>0.5</v>
      </c>
      <c r="F19" s="11" t="s">
        <v>47</v>
      </c>
      <c r="G19" s="2">
        <f>VLOOKUP(C19,Table4[],2)</f>
        <v>25</v>
      </c>
      <c r="H19" s="2">
        <f t="shared" si="1"/>
        <v>182</v>
      </c>
      <c r="I19" s="2">
        <f>VLOOKUP(D19,Table2678[[WORDS]:[PITCH LO]],2)</f>
        <v>23</v>
      </c>
      <c r="J19" s="2">
        <f t="shared" si="2"/>
        <v>2</v>
      </c>
      <c r="K19" s="5">
        <f>VLOOKUP(J19,'Pitch Pcts'!$A$1:$B$13,2)</f>
        <v>-15</v>
      </c>
      <c r="L19" s="5">
        <f>ROUND(VLOOKUP(D19,Table2678[[WORDS]:[%]],5)/E19,0)</f>
        <v>214</v>
      </c>
      <c r="R19" s="6" t="s">
        <v>77</v>
      </c>
      <c r="S19" s="6" t="str">
        <f t="shared" si="3"/>
        <v>-15%</v>
      </c>
      <c r="T19" s="7" t="s">
        <v>78</v>
      </c>
      <c r="U19" s="6" t="str">
        <f t="shared" si="4"/>
        <v>214%</v>
      </c>
      <c r="V19" s="7" t="s">
        <v>82</v>
      </c>
      <c r="W19" s="6" t="str">
        <f t="shared" ref="W19:W47" si="6">D19</f>
        <v>ping</v>
      </c>
      <c r="X19" s="6" t="s">
        <v>81</v>
      </c>
      <c r="Y19" s="6"/>
      <c r="Z19" s="6"/>
      <c r="AB19" s="1" t="str">
        <f t="shared" si="5"/>
        <v>&lt;prosody pitch="-15%" rate="214%"&gt;&lt;say-as interpret-as="interjection"&gt;ping&lt;/say-as&gt; &lt;/prosody&gt;</v>
      </c>
    </row>
    <row r="20" spans="3:28" x14ac:dyDescent="0.25">
      <c r="C20" t="s">
        <v>35</v>
      </c>
      <c r="D20" s="16" t="s">
        <v>6</v>
      </c>
      <c r="E20" s="1">
        <v>0.5</v>
      </c>
      <c r="F20" s="11"/>
      <c r="G20" s="2">
        <f>VLOOKUP(C20,Table4[],2)</f>
        <v>27</v>
      </c>
      <c r="H20" s="2">
        <f t="shared" si="1"/>
        <v>182</v>
      </c>
      <c r="I20" s="2">
        <f>VLOOKUP(D20,Table2678[[WORDS]:[PITCH LO]],2)</f>
        <v>23</v>
      </c>
      <c r="J20" s="2">
        <f t="shared" si="2"/>
        <v>4</v>
      </c>
      <c r="K20" s="5">
        <f>VLOOKUP(J20,'Pitch Pcts'!$A$1:$B$13,2)</f>
        <v>-5</v>
      </c>
      <c r="L20" s="5">
        <f>ROUND(VLOOKUP(D20,Table2678[[WORDS]:[%]],5)/E20,0)</f>
        <v>214</v>
      </c>
      <c r="R20" s="6" t="s">
        <v>77</v>
      </c>
      <c r="S20" s="6" t="str">
        <f t="shared" si="3"/>
        <v>-5%</v>
      </c>
      <c r="T20" s="7" t="s">
        <v>78</v>
      </c>
      <c r="U20" s="6" t="str">
        <f t="shared" si="4"/>
        <v>214%</v>
      </c>
      <c r="V20" s="7" t="s">
        <v>82</v>
      </c>
      <c r="W20" s="6" t="str">
        <f t="shared" si="6"/>
        <v>ping</v>
      </c>
      <c r="X20" s="6" t="s">
        <v>81</v>
      </c>
      <c r="Y20" s="6"/>
      <c r="Z20" s="6"/>
      <c r="AB20" s="1" t="str">
        <f t="shared" si="5"/>
        <v>&lt;prosody pitch="-5%" rate="214%"&gt;&lt;say-as interpret-as="interjection"&gt;ping&lt;/say-as&gt; &lt;/prosody&gt;</v>
      </c>
    </row>
    <row r="21" spans="3:28" x14ac:dyDescent="0.25">
      <c r="C21" t="s">
        <v>36</v>
      </c>
      <c r="D21" s="16" t="s">
        <v>6</v>
      </c>
      <c r="E21" s="1">
        <v>0.5</v>
      </c>
      <c r="F21" s="11" t="s">
        <v>47</v>
      </c>
      <c r="G21" s="2">
        <f>VLOOKUP(C21,Table4[],2)</f>
        <v>28</v>
      </c>
      <c r="H21" s="2">
        <f t="shared" si="1"/>
        <v>182</v>
      </c>
      <c r="I21" s="2">
        <f>VLOOKUP(D21,Table2678[[WORDS]:[PITCH LO]],2)</f>
        <v>23</v>
      </c>
      <c r="J21" s="2">
        <f t="shared" si="2"/>
        <v>5</v>
      </c>
      <c r="K21" s="5" t="str">
        <f>VLOOKUP(J21,'Pitch Pcts'!$A$1:$B$13,2)</f>
        <v>+0</v>
      </c>
      <c r="L21" s="5">
        <f>ROUND(VLOOKUP(D21,Table2678[[WORDS]:[%]],5)/E21,0)</f>
        <v>214</v>
      </c>
      <c r="R21" s="6" t="s">
        <v>77</v>
      </c>
      <c r="S21" s="6" t="str">
        <f t="shared" si="3"/>
        <v>+0%</v>
      </c>
      <c r="T21" s="7" t="s">
        <v>78</v>
      </c>
      <c r="U21" s="6" t="str">
        <f t="shared" si="4"/>
        <v>214%</v>
      </c>
      <c r="V21" s="7" t="s">
        <v>82</v>
      </c>
      <c r="W21" s="6" t="str">
        <f t="shared" si="6"/>
        <v>ping</v>
      </c>
      <c r="X21" s="6" t="s">
        <v>81</v>
      </c>
      <c r="Y21" s="6"/>
      <c r="Z21" s="6"/>
      <c r="AB21" s="1" t="str">
        <f t="shared" si="5"/>
        <v>&lt;prosody pitch="+0%" rate="214%"&gt;&lt;say-as interpret-as="interjection"&gt;ping&lt;/say-as&gt; &lt;/prosody&gt;</v>
      </c>
    </row>
    <row r="22" spans="3:28" x14ac:dyDescent="0.25">
      <c r="C22" t="s">
        <v>38</v>
      </c>
      <c r="D22" s="16" t="s">
        <v>6</v>
      </c>
      <c r="E22" s="1">
        <v>0.5</v>
      </c>
      <c r="F22" s="11"/>
      <c r="G22" s="2">
        <f>VLOOKUP(C22,Table4[],2)</f>
        <v>30</v>
      </c>
      <c r="H22" s="2">
        <f t="shared" si="1"/>
        <v>182</v>
      </c>
      <c r="I22" s="2">
        <f>VLOOKUP(D22,Table2678[[WORDS]:[PITCH LO]],2)</f>
        <v>23</v>
      </c>
      <c r="J22" s="2">
        <f t="shared" si="2"/>
        <v>7</v>
      </c>
      <c r="K22" s="5" t="str">
        <f>VLOOKUP(J22,'Pitch Pcts'!$A$1:$B$13,2)</f>
        <v>+14</v>
      </c>
      <c r="L22" s="5">
        <f>ROUND(VLOOKUP(D22,Table2678[[WORDS]:[%]],5)/E22,0)</f>
        <v>214</v>
      </c>
      <c r="R22" s="6" t="s">
        <v>77</v>
      </c>
      <c r="S22" s="6" t="str">
        <f t="shared" si="3"/>
        <v>+14%</v>
      </c>
      <c r="T22" s="7" t="s">
        <v>78</v>
      </c>
      <c r="U22" s="6" t="str">
        <f t="shared" si="4"/>
        <v>214%</v>
      </c>
      <c r="V22" s="7" t="s">
        <v>82</v>
      </c>
      <c r="W22" s="6" t="str">
        <f t="shared" si="6"/>
        <v>ping</v>
      </c>
      <c r="X22" s="6" t="s">
        <v>81</v>
      </c>
      <c r="Y22" s="6"/>
      <c r="Z22" s="6"/>
      <c r="AB22" s="1" t="str">
        <f t="shared" si="5"/>
        <v>&lt;prosody pitch="+14%" rate="214%"&gt;&lt;say-as interpret-as="interjection"&gt;ping&lt;/say-as&gt; &lt;/prosody&gt;</v>
      </c>
    </row>
    <row r="23" spans="3:28" x14ac:dyDescent="0.25">
      <c r="C23" t="s">
        <v>40</v>
      </c>
      <c r="D23" s="16" t="s">
        <v>6</v>
      </c>
      <c r="E23" s="1">
        <v>0.5</v>
      </c>
      <c r="F23" s="11" t="s">
        <v>47</v>
      </c>
      <c r="G23" s="2">
        <f>VLOOKUP(C23,Table4[],2)</f>
        <v>32</v>
      </c>
      <c r="H23" s="2">
        <f t="shared" si="1"/>
        <v>182</v>
      </c>
      <c r="I23" s="2">
        <f>VLOOKUP(D23,Table2678[[WORDS]:[PITCH LO]],2)</f>
        <v>23</v>
      </c>
      <c r="J23" s="2">
        <f t="shared" si="2"/>
        <v>9</v>
      </c>
      <c r="K23" s="5" t="str">
        <f>VLOOKUP(J23,'Pitch Pcts'!$A$1:$B$13,2)</f>
        <v>+28</v>
      </c>
      <c r="L23" s="5">
        <f>ROUND(VLOOKUP(D23,Table2678[[WORDS]:[%]],5)/E23,0)</f>
        <v>214</v>
      </c>
      <c r="R23" s="6" t="s">
        <v>77</v>
      </c>
      <c r="S23" s="6" t="str">
        <f t="shared" si="3"/>
        <v>+28%</v>
      </c>
      <c r="T23" s="7" t="s">
        <v>78</v>
      </c>
      <c r="U23" s="6" t="str">
        <f t="shared" si="4"/>
        <v>214%</v>
      </c>
      <c r="V23" s="7" t="s">
        <v>82</v>
      </c>
      <c r="W23" s="6" t="str">
        <f t="shared" si="6"/>
        <v>ping</v>
      </c>
      <c r="X23" s="6" t="s">
        <v>81</v>
      </c>
      <c r="Y23" s="6"/>
      <c r="Z23" s="6"/>
      <c r="AB23" s="1" t="str">
        <f t="shared" si="5"/>
        <v>&lt;prosody pitch="+28%" rate="214%"&gt;&lt;say-as interpret-as="interjection"&gt;ping&lt;/say-as&gt; &lt;/prosody&gt;</v>
      </c>
    </row>
    <row r="24" spans="3:28" x14ac:dyDescent="0.25">
      <c r="C24" t="s">
        <v>42</v>
      </c>
      <c r="D24" s="16" t="s">
        <v>6</v>
      </c>
      <c r="E24" s="1">
        <v>0.5</v>
      </c>
      <c r="F24" s="11"/>
      <c r="G24" s="2">
        <f>VLOOKUP(C24,Table4[],2)</f>
        <v>34</v>
      </c>
      <c r="H24" s="2">
        <f t="shared" si="1"/>
        <v>182</v>
      </c>
      <c r="I24" s="2">
        <f>VLOOKUP(D24,Table2678[[WORDS]:[PITCH LO]],2)</f>
        <v>23</v>
      </c>
      <c r="J24" s="2">
        <f t="shared" si="2"/>
        <v>11</v>
      </c>
      <c r="K24" s="5" t="str">
        <f>VLOOKUP(J24,'Pitch Pcts'!$A$1:$B$13,2)</f>
        <v>+44</v>
      </c>
      <c r="L24" s="5">
        <f>ROUND(VLOOKUP(D24,Table2678[[WORDS]:[%]],5)/E24,0)</f>
        <v>214</v>
      </c>
      <c r="R24" s="6" t="s">
        <v>77</v>
      </c>
      <c r="S24" s="6" t="str">
        <f t="shared" si="3"/>
        <v>+44%</v>
      </c>
      <c r="T24" s="7" t="s">
        <v>78</v>
      </c>
      <c r="U24" s="6" t="str">
        <f t="shared" si="4"/>
        <v>214%</v>
      </c>
      <c r="V24" s="7" t="s">
        <v>82</v>
      </c>
      <c r="W24" s="6" t="str">
        <f t="shared" si="6"/>
        <v>ping</v>
      </c>
      <c r="X24" s="6" t="s">
        <v>81</v>
      </c>
      <c r="Y24" s="6"/>
      <c r="Z24" s="6"/>
      <c r="AB24" s="1" t="str">
        <f t="shared" si="5"/>
        <v>&lt;prosody pitch="+44%" rate="214%"&gt;&lt;say-as interpret-as="interjection"&gt;ping&lt;/say-as&gt; &lt;/prosody&gt;</v>
      </c>
    </row>
    <row r="25" spans="3:28" x14ac:dyDescent="0.25">
      <c r="C25" t="s">
        <v>43</v>
      </c>
      <c r="D25" s="16" t="s">
        <v>6</v>
      </c>
      <c r="E25" s="1">
        <v>0.5</v>
      </c>
      <c r="F25" s="11"/>
      <c r="G25" s="2">
        <f>VLOOKUP(C25,Table4[],2)</f>
        <v>35</v>
      </c>
      <c r="H25" s="2">
        <f t="shared" si="1"/>
        <v>182</v>
      </c>
      <c r="I25" s="2">
        <f>VLOOKUP(D25,Table2678[[WORDS]:[PITCH LO]],2)</f>
        <v>23</v>
      </c>
      <c r="J25" s="2">
        <f t="shared" si="2"/>
        <v>12</v>
      </c>
      <c r="K25" s="5" t="str">
        <f>VLOOKUP(J25,'Pitch Pcts'!$A$1:$B$13,2)</f>
        <v>+50</v>
      </c>
      <c r="L25" s="5">
        <f>ROUND(VLOOKUP(D25,Table2678[[WORDS]:[%]],5)/E25,0)</f>
        <v>214</v>
      </c>
      <c r="R25" s="6" t="s">
        <v>77</v>
      </c>
      <c r="S25" s="6" t="str">
        <f t="shared" si="3"/>
        <v>+50%</v>
      </c>
      <c r="T25" s="7" t="s">
        <v>78</v>
      </c>
      <c r="U25" s="6" t="str">
        <f t="shared" si="4"/>
        <v>214%</v>
      </c>
      <c r="V25" s="7" t="s">
        <v>82</v>
      </c>
      <c r="W25" s="6" t="str">
        <f t="shared" si="6"/>
        <v>ping</v>
      </c>
      <c r="X25" s="6" t="s">
        <v>81</v>
      </c>
      <c r="Y25" s="6"/>
      <c r="Z25" s="6"/>
      <c r="AB25" s="1" t="str">
        <f t="shared" si="5"/>
        <v>&lt;prosody pitch="+50%" rate="214%"&gt;&lt;say-as interpret-as="interjection"&gt;ping&lt;/say-as&gt; &lt;/prosody&gt;</v>
      </c>
    </row>
    <row r="26" spans="3:28" x14ac:dyDescent="0.25">
      <c r="C26" t="s">
        <v>43</v>
      </c>
      <c r="D26" s="16" t="s">
        <v>6</v>
      </c>
      <c r="E26" s="1">
        <v>0.5</v>
      </c>
      <c r="F26" s="11" t="s">
        <v>47</v>
      </c>
      <c r="G26" s="2">
        <f>VLOOKUP(C26,Table4[],2)</f>
        <v>35</v>
      </c>
      <c r="H26" s="2">
        <f t="shared" si="1"/>
        <v>182</v>
      </c>
      <c r="I26" s="2">
        <f>VLOOKUP(D26,Table2678[[WORDS]:[PITCH LO]],2)</f>
        <v>23</v>
      </c>
      <c r="J26" s="2">
        <f t="shared" si="2"/>
        <v>12</v>
      </c>
      <c r="K26" s="5" t="str">
        <f>VLOOKUP(J26,'Pitch Pcts'!$A$1:$B$13,2)</f>
        <v>+50</v>
      </c>
      <c r="L26" s="5">
        <f>ROUND(VLOOKUP(D26,Table2678[[WORDS]:[%]],5)/E26,0)</f>
        <v>214</v>
      </c>
      <c r="R26" s="6" t="s">
        <v>77</v>
      </c>
      <c r="S26" s="6" t="str">
        <f t="shared" si="3"/>
        <v>+50%</v>
      </c>
      <c r="T26" s="7" t="s">
        <v>78</v>
      </c>
      <c r="U26" s="6" t="str">
        <f t="shared" si="4"/>
        <v>214%</v>
      </c>
      <c r="V26" s="7" t="s">
        <v>82</v>
      </c>
      <c r="W26" s="6" t="str">
        <f t="shared" si="6"/>
        <v>ping</v>
      </c>
      <c r="X26" s="6" t="s">
        <v>81</v>
      </c>
      <c r="Y26" s="6"/>
      <c r="Z26" s="6"/>
      <c r="AB26" s="1" t="str">
        <f t="shared" si="5"/>
        <v>&lt;prosody pitch="+50%" rate="214%"&gt;&lt;say-as interpret-as="interjection"&gt;ping&lt;/say-as&gt; &lt;/prosody&gt;</v>
      </c>
    </row>
    <row r="27" spans="3:28" x14ac:dyDescent="0.25">
      <c r="C27" s="16" t="s">
        <v>43</v>
      </c>
      <c r="D27" s="16" t="s">
        <v>6</v>
      </c>
      <c r="E27" s="1">
        <v>0.5</v>
      </c>
      <c r="F27" s="11"/>
      <c r="G27" s="2">
        <f>VLOOKUP(C27,Table4[],2)</f>
        <v>35</v>
      </c>
      <c r="H27" s="2">
        <f t="shared" si="1"/>
        <v>182</v>
      </c>
      <c r="I27" s="2">
        <f>VLOOKUP(D27,Table2678[[WORDS]:[PITCH LO]],2)</f>
        <v>23</v>
      </c>
      <c r="J27" s="2">
        <f t="shared" si="2"/>
        <v>12</v>
      </c>
      <c r="K27" s="5" t="str">
        <f>VLOOKUP(J27,'Pitch Pcts'!$A$1:$B$13,2)</f>
        <v>+50</v>
      </c>
      <c r="L27" s="5">
        <f>ROUND(VLOOKUP(D27,Table2678[[WORDS]:[%]],5)/E27,0)</f>
        <v>214</v>
      </c>
      <c r="R27" s="6" t="s">
        <v>77</v>
      </c>
      <c r="S27" s="6" t="str">
        <f t="shared" si="3"/>
        <v>+50%</v>
      </c>
      <c r="T27" s="7" t="s">
        <v>78</v>
      </c>
      <c r="U27" s="6" t="str">
        <f t="shared" si="4"/>
        <v>214%</v>
      </c>
      <c r="V27" s="7" t="s">
        <v>82</v>
      </c>
      <c r="W27" s="6" t="str">
        <f t="shared" si="6"/>
        <v>ping</v>
      </c>
      <c r="X27" s="6" t="s">
        <v>81</v>
      </c>
      <c r="Y27" s="6"/>
      <c r="Z27" s="6"/>
      <c r="AB27" s="1" t="str">
        <f t="shared" si="5"/>
        <v>&lt;prosody pitch="+50%" rate="214%"&gt;&lt;say-as interpret-as="interjection"&gt;ping&lt;/say-as&gt; &lt;/prosody&gt;</v>
      </c>
    </row>
    <row r="28" spans="3:28" x14ac:dyDescent="0.25">
      <c r="C28" s="16" t="s">
        <v>43</v>
      </c>
      <c r="D28" t="s">
        <v>6</v>
      </c>
      <c r="E28" s="1">
        <v>0.5</v>
      </c>
      <c r="F28" s="11"/>
      <c r="G28" s="2">
        <f>VLOOKUP(C28,Table4[],2)</f>
        <v>35</v>
      </c>
      <c r="H28" s="2">
        <f t="shared" si="1"/>
        <v>182</v>
      </c>
      <c r="I28" s="2">
        <f>VLOOKUP(D28,Table2678[[WORDS]:[PITCH LO]],2)</f>
        <v>23</v>
      </c>
      <c r="J28" s="2">
        <f t="shared" si="2"/>
        <v>12</v>
      </c>
      <c r="K28" s="5" t="str">
        <f>VLOOKUP(J28,'Pitch Pcts'!$A$1:$B$13,2)</f>
        <v>+50</v>
      </c>
      <c r="L28" s="5">
        <f>ROUND(VLOOKUP(D28,Table2678[[WORDS]:[%]],5)/E28,0)</f>
        <v>214</v>
      </c>
      <c r="R28" s="6" t="s">
        <v>77</v>
      </c>
      <c r="S28" s="6" t="str">
        <f t="shared" si="3"/>
        <v>+50%</v>
      </c>
      <c r="T28" s="7" t="s">
        <v>78</v>
      </c>
      <c r="U28" s="6" t="str">
        <f t="shared" si="4"/>
        <v>214%</v>
      </c>
      <c r="V28" s="7" t="s">
        <v>82</v>
      </c>
      <c r="W28" s="6" t="str">
        <f t="shared" si="6"/>
        <v>ping</v>
      </c>
      <c r="X28" s="6" t="s">
        <v>81</v>
      </c>
      <c r="Y28" s="6"/>
      <c r="Z28" s="6"/>
      <c r="AB28" s="1" t="str">
        <f t="shared" si="5"/>
        <v>&lt;prosody pitch="+50%" rate="214%"&gt;&lt;say-as interpret-as="interjection"&gt;ping&lt;/say-as&gt; &lt;/prosody&gt;</v>
      </c>
    </row>
    <row r="29" spans="3:28" x14ac:dyDescent="0.25">
      <c r="C29" s="16" t="s">
        <v>43</v>
      </c>
      <c r="D29" t="s">
        <v>6</v>
      </c>
      <c r="E29" s="1">
        <v>0.5</v>
      </c>
      <c r="F29" s="11"/>
      <c r="G29" s="2">
        <f>VLOOKUP(C29,Table4[],2)</f>
        <v>35</v>
      </c>
      <c r="H29" s="2">
        <f t="shared" si="1"/>
        <v>182</v>
      </c>
      <c r="I29" s="2">
        <f>VLOOKUP(D29,Table2678[[WORDS]:[PITCH LO]],2)</f>
        <v>23</v>
      </c>
      <c r="J29" s="2">
        <f t="shared" si="2"/>
        <v>12</v>
      </c>
      <c r="K29" s="5" t="str">
        <f>VLOOKUP(J29,'Pitch Pcts'!$A$1:$B$13,2)</f>
        <v>+50</v>
      </c>
      <c r="L29" s="5">
        <f>ROUND(VLOOKUP(D29,Table2678[[WORDS]:[%]],5)/E29,0)</f>
        <v>214</v>
      </c>
      <c r="R29" s="6" t="s">
        <v>77</v>
      </c>
      <c r="S29" s="6" t="str">
        <f t="shared" si="3"/>
        <v>+50%</v>
      </c>
      <c r="T29" s="7" t="s">
        <v>78</v>
      </c>
      <c r="U29" s="6" t="str">
        <f t="shared" si="4"/>
        <v>214%</v>
      </c>
      <c r="V29" s="7" t="s">
        <v>82</v>
      </c>
      <c r="W29" s="6" t="str">
        <f t="shared" si="6"/>
        <v>ping</v>
      </c>
      <c r="X29" s="6" t="s">
        <v>81</v>
      </c>
      <c r="Y29" s="6"/>
      <c r="Z29" s="6"/>
      <c r="AB29" s="1" t="str">
        <f t="shared" si="5"/>
        <v>&lt;prosody pitch="+50%" rate="214%"&gt;&lt;say-as interpret-as="interjection"&gt;ping&lt;/say-as&gt; &lt;/prosody&gt;</v>
      </c>
    </row>
    <row r="30" spans="3:28" x14ac:dyDescent="0.25">
      <c r="C30" s="16" t="s">
        <v>43</v>
      </c>
      <c r="D30" s="16" t="s">
        <v>6</v>
      </c>
      <c r="E30" s="1">
        <v>0.5</v>
      </c>
      <c r="F30" s="11"/>
      <c r="G30" s="2">
        <f>VLOOKUP(C30,Table4[],2)</f>
        <v>35</v>
      </c>
      <c r="H30" s="2">
        <f t="shared" ref="H30" si="7">E30*$F$14</f>
        <v>182</v>
      </c>
      <c r="I30" s="2">
        <f>VLOOKUP(D30,Table2678[[WORDS]:[PITCH LO]],2)</f>
        <v>23</v>
      </c>
      <c r="J30" s="2">
        <f t="shared" ref="J30" si="8">G30-I30</f>
        <v>12</v>
      </c>
      <c r="K30" s="5" t="str">
        <f>VLOOKUP(J30,'Pitch Pcts'!$A$1:$B$13,2)</f>
        <v>+50</v>
      </c>
      <c r="L30" s="5">
        <f>ROUND(VLOOKUP(D30,Table2678[[WORDS]:[%]],5)/E30,0)</f>
        <v>214</v>
      </c>
      <c r="R30" s="6" t="s">
        <v>77</v>
      </c>
      <c r="S30" s="6" t="str">
        <f t="shared" si="3"/>
        <v>+50%</v>
      </c>
      <c r="T30" s="7" t="s">
        <v>78</v>
      </c>
      <c r="U30" s="6" t="str">
        <f t="shared" si="4"/>
        <v>214%</v>
      </c>
      <c r="V30" s="7" t="s">
        <v>82</v>
      </c>
      <c r="W30" s="6" t="str">
        <f t="shared" si="6"/>
        <v>ping</v>
      </c>
      <c r="X30" s="6" t="s">
        <v>81</v>
      </c>
      <c r="Y30" s="6"/>
      <c r="Z30" s="6"/>
      <c r="AB30" s="1" t="str">
        <f t="shared" si="5"/>
        <v>&lt;prosody pitch="+50%" rate="214%"&gt;&lt;say-as interpret-as="interjection"&gt;ping&lt;/say-as&gt; &lt;/prosody&gt;</v>
      </c>
    </row>
    <row r="31" spans="3:28" x14ac:dyDescent="0.25">
      <c r="C31" s="16" t="s">
        <v>43</v>
      </c>
      <c r="D31" s="16" t="s">
        <v>6</v>
      </c>
      <c r="E31" s="1">
        <v>0.5</v>
      </c>
      <c r="F31" s="11"/>
      <c r="G31" s="2">
        <f>VLOOKUP(C30,Table4[],2)</f>
        <v>35</v>
      </c>
      <c r="H31" s="2">
        <f>E30*$F$14</f>
        <v>182</v>
      </c>
      <c r="I31" s="2">
        <f>VLOOKUP(D30,Table2678[[WORDS]:[PITCH LO]],2)</f>
        <v>23</v>
      </c>
      <c r="J31" s="2">
        <f t="shared" si="2"/>
        <v>12</v>
      </c>
      <c r="K31" s="5" t="str">
        <f>VLOOKUP(J31,'Pitch Pcts'!$A$1:$B$13,2)</f>
        <v>+50</v>
      </c>
      <c r="L31" s="5">
        <f>ROUND(VLOOKUP(D30,Table2678[[WORDS]:[%]],5)/E30,0)</f>
        <v>214</v>
      </c>
      <c r="R31" s="6" t="s">
        <v>77</v>
      </c>
      <c r="S31" s="6" t="str">
        <f t="shared" si="3"/>
        <v>+50%</v>
      </c>
      <c r="T31" s="7" t="s">
        <v>78</v>
      </c>
      <c r="U31" s="6" t="str">
        <f t="shared" si="4"/>
        <v>214%</v>
      </c>
      <c r="V31" s="7" t="s">
        <v>82</v>
      </c>
      <c r="W31" s="6" t="str">
        <f>D30</f>
        <v>ping</v>
      </c>
      <c r="X31" s="6" t="s">
        <v>81</v>
      </c>
      <c r="Y31" s="6"/>
      <c r="Z31" s="6"/>
      <c r="AB31" s="1" t="str">
        <f t="shared" si="5"/>
        <v>&lt;prosody pitch="+50%" rate="214%"&gt;&lt;say-as interpret-as="interjection"&gt;ping&lt;/say-as&gt; &lt;/prosody&gt;</v>
      </c>
    </row>
    <row r="32" spans="3:28" x14ac:dyDescent="0.25">
      <c r="C32" s="16" t="s">
        <v>43</v>
      </c>
      <c r="D32" s="16" t="s">
        <v>6</v>
      </c>
      <c r="E32" s="1">
        <v>0.5</v>
      </c>
      <c r="F32" s="11"/>
      <c r="G32" s="2">
        <f>VLOOKUP(C31,Table4[],2)</f>
        <v>35</v>
      </c>
      <c r="H32" s="2">
        <f>E31*$F$14</f>
        <v>182</v>
      </c>
      <c r="I32" s="2">
        <f>VLOOKUP(D31,Table2678[[WORDS]:[PITCH LO]],2)</f>
        <v>23</v>
      </c>
      <c r="J32" s="2">
        <f t="shared" si="2"/>
        <v>12</v>
      </c>
      <c r="K32" s="5" t="str">
        <f>VLOOKUP(J32,'Pitch Pcts'!$A$1:$B$13,2)</f>
        <v>+50</v>
      </c>
      <c r="L32" s="5">
        <f>ROUND(VLOOKUP(D31,Table2678[[WORDS]:[%]],5)/E31,0)</f>
        <v>214</v>
      </c>
      <c r="R32" s="6" t="s">
        <v>77</v>
      </c>
      <c r="S32" s="6" t="str">
        <f t="shared" si="3"/>
        <v>+50%</v>
      </c>
      <c r="T32" s="7" t="s">
        <v>78</v>
      </c>
      <c r="U32" s="6" t="str">
        <f t="shared" si="4"/>
        <v>214%</v>
      </c>
      <c r="V32" s="7" t="s">
        <v>82</v>
      </c>
      <c r="W32" s="6" t="str">
        <f>D31</f>
        <v>ping</v>
      </c>
      <c r="X32" s="6" t="s">
        <v>81</v>
      </c>
      <c r="Y32" s="6"/>
      <c r="Z32" s="6"/>
      <c r="AB32" s="1" t="str">
        <f t="shared" si="5"/>
        <v>&lt;prosody pitch="+50%" rate="214%"&gt;&lt;say-as interpret-as="interjection"&gt;ping&lt;/say-as&gt; &lt;/prosody&gt;</v>
      </c>
    </row>
    <row r="33" spans="3:28" x14ac:dyDescent="0.25">
      <c r="C33" s="16" t="s">
        <v>43</v>
      </c>
      <c r="D33" s="16" t="s">
        <v>6</v>
      </c>
      <c r="E33" s="1">
        <v>0.5</v>
      </c>
      <c r="F33" s="11"/>
      <c r="G33" s="2">
        <f>VLOOKUP(C32,Table4[],2)</f>
        <v>35</v>
      </c>
      <c r="H33" s="2">
        <f>E32*$F$14</f>
        <v>182</v>
      </c>
      <c r="I33" s="2">
        <f>VLOOKUP(D32,Table2678[[WORDS]:[PITCH LO]],2)</f>
        <v>23</v>
      </c>
      <c r="J33" s="2">
        <f t="shared" si="2"/>
        <v>12</v>
      </c>
      <c r="K33" s="5" t="str">
        <f>VLOOKUP(J33,'Pitch Pcts'!$A$1:$B$13,2)</f>
        <v>+50</v>
      </c>
      <c r="L33" s="5">
        <f>ROUND(VLOOKUP(D32,Table2678[[WORDS]:[%]],5)/E32,0)</f>
        <v>214</v>
      </c>
      <c r="R33" s="6" t="s">
        <v>77</v>
      </c>
      <c r="S33" s="6" t="str">
        <f t="shared" si="3"/>
        <v>+50%</v>
      </c>
      <c r="T33" s="7" t="s">
        <v>78</v>
      </c>
      <c r="U33" s="6" t="str">
        <f t="shared" si="4"/>
        <v>214%</v>
      </c>
      <c r="V33" s="7" t="s">
        <v>82</v>
      </c>
      <c r="W33" s="6" t="str">
        <f>D32</f>
        <v>ping</v>
      </c>
      <c r="X33" s="6" t="s">
        <v>81</v>
      </c>
      <c r="Y33" s="6"/>
      <c r="Z33" s="6"/>
      <c r="AB33" s="1" t="str">
        <f t="shared" si="5"/>
        <v>&lt;prosody pitch="+50%" rate="214%"&gt;&lt;say-as interpret-as="interjection"&gt;ping&lt;/say-as&gt; &lt;/prosody&gt;</v>
      </c>
    </row>
    <row r="34" spans="3:28" x14ac:dyDescent="0.25">
      <c r="C34" s="16" t="s">
        <v>43</v>
      </c>
      <c r="D34" s="16" t="s">
        <v>6</v>
      </c>
      <c r="E34" s="1">
        <v>0.5</v>
      </c>
      <c r="F34" s="11"/>
      <c r="G34" s="2">
        <f>VLOOKUP(C33,Table4[],2)</f>
        <v>35</v>
      </c>
      <c r="H34" s="2">
        <f>E33*$F$14</f>
        <v>182</v>
      </c>
      <c r="I34" s="2">
        <f>VLOOKUP(D33,Table2678[[WORDS]:[PITCH LO]],2)</f>
        <v>23</v>
      </c>
      <c r="J34" s="2">
        <f t="shared" si="2"/>
        <v>12</v>
      </c>
      <c r="K34" s="5" t="str">
        <f>VLOOKUP(J34,'Pitch Pcts'!$A$1:$B$13,2)</f>
        <v>+50</v>
      </c>
      <c r="L34" s="5">
        <f>ROUND(VLOOKUP(D33,Table2678[[WORDS]:[%]],5)/E33,0)</f>
        <v>214</v>
      </c>
      <c r="R34" s="6" t="s">
        <v>77</v>
      </c>
      <c r="S34" s="6" t="str">
        <f t="shared" si="3"/>
        <v>+50%</v>
      </c>
      <c r="T34" s="7" t="s">
        <v>78</v>
      </c>
      <c r="U34" s="6" t="str">
        <f t="shared" si="4"/>
        <v>214%</v>
      </c>
      <c r="V34" s="7" t="s">
        <v>82</v>
      </c>
      <c r="W34" s="6" t="str">
        <f>D33</f>
        <v>ping</v>
      </c>
      <c r="X34" s="6" t="s">
        <v>81</v>
      </c>
      <c r="Y34" s="6"/>
      <c r="Z34" s="6"/>
      <c r="AB34" s="1" t="str">
        <f t="shared" si="5"/>
        <v>&lt;prosody pitch="+50%" rate="214%"&gt;&lt;say-as interpret-as="interjection"&gt;ping&lt;/say-as&gt; &lt;/prosody&gt;</v>
      </c>
    </row>
    <row r="35" spans="3:28" x14ac:dyDescent="0.25">
      <c r="C35" s="16" t="s">
        <v>43</v>
      </c>
      <c r="D35" s="16" t="s">
        <v>6</v>
      </c>
      <c r="E35" s="1">
        <v>0.5</v>
      </c>
      <c r="F35" s="11"/>
      <c r="G35" s="2">
        <f>VLOOKUP(C34,Table4[],2)</f>
        <v>35</v>
      </c>
      <c r="H35" s="2">
        <f>E34*$F$14</f>
        <v>182</v>
      </c>
      <c r="I35" s="2">
        <f>VLOOKUP(D34,Table2678[[WORDS]:[PITCH LO]],2)</f>
        <v>23</v>
      </c>
      <c r="J35" s="2">
        <f t="shared" si="2"/>
        <v>12</v>
      </c>
      <c r="K35" s="5" t="str">
        <f>VLOOKUP(J35,'Pitch Pcts'!$A$1:$B$13,2)</f>
        <v>+50</v>
      </c>
      <c r="L35" s="5">
        <f>ROUND(VLOOKUP(D34,Table2678[[WORDS]:[%]],5)/E34,0)</f>
        <v>214</v>
      </c>
      <c r="R35" s="6" t="s">
        <v>77</v>
      </c>
      <c r="S35" s="6" t="str">
        <f t="shared" si="3"/>
        <v>+50%</v>
      </c>
      <c r="T35" s="7" t="s">
        <v>78</v>
      </c>
      <c r="U35" s="6" t="str">
        <f t="shared" si="4"/>
        <v>214%</v>
      </c>
      <c r="V35" s="7" t="s">
        <v>82</v>
      </c>
      <c r="W35" s="6" t="str">
        <f>D34</f>
        <v>ping</v>
      </c>
      <c r="X35" s="6" t="s">
        <v>81</v>
      </c>
      <c r="Y35" s="6"/>
      <c r="Z35" s="6"/>
      <c r="AB35" s="1" t="str">
        <f t="shared" si="5"/>
        <v>&lt;prosody pitch="+50%" rate="214%"&gt;&lt;say-as interpret-as="interjection"&gt;ping&lt;/say-as&gt; &lt;/prosody&gt;</v>
      </c>
    </row>
    <row r="36" spans="3:28" x14ac:dyDescent="0.25">
      <c r="F36" s="11"/>
      <c r="G36" s="2">
        <f>VLOOKUP(C35,Table4[],2)</f>
        <v>35</v>
      </c>
      <c r="H36" s="2">
        <f>E35*$F$14</f>
        <v>182</v>
      </c>
      <c r="I36" s="2">
        <f>VLOOKUP(D35,Table2678[[WORDS]:[PITCH LO]],2)</f>
        <v>23</v>
      </c>
      <c r="J36" s="2">
        <f t="shared" si="2"/>
        <v>12</v>
      </c>
      <c r="K36" s="5" t="str">
        <f>VLOOKUP(J36,'Pitch Pcts'!$A$1:$B$13,2)</f>
        <v>+50</v>
      </c>
      <c r="L36" s="5">
        <f>ROUND(VLOOKUP(D35,Table2678[[WORDS]:[%]],5)/E35,0)</f>
        <v>214</v>
      </c>
      <c r="R36" s="6" t="s">
        <v>77</v>
      </c>
      <c r="S36" s="6" t="str">
        <f t="shared" si="3"/>
        <v>+50%</v>
      </c>
      <c r="T36" s="7" t="s">
        <v>78</v>
      </c>
      <c r="U36" s="6" t="str">
        <f t="shared" si="4"/>
        <v>214%</v>
      </c>
      <c r="V36" s="7" t="s">
        <v>82</v>
      </c>
      <c r="W36" s="6" t="str">
        <f>D35</f>
        <v>ping</v>
      </c>
      <c r="X36" s="6" t="s">
        <v>81</v>
      </c>
      <c r="Y36" s="6"/>
      <c r="Z36" s="6"/>
      <c r="AB36" s="1" t="str">
        <f t="shared" si="5"/>
        <v>&lt;prosody pitch="+50%" rate="214%"&gt;&lt;say-as interpret-as="interjection"&gt;ping&lt;/say-as&gt; &lt;/prosody&gt;</v>
      </c>
    </row>
    <row r="37" spans="3:28" x14ac:dyDescent="0.25">
      <c r="F37" s="11"/>
      <c r="G37" s="2" t="e">
        <f>VLOOKUP(C37,Table4[],2)</f>
        <v>#N/A</v>
      </c>
      <c r="H37" s="2">
        <f t="shared" si="1"/>
        <v>0</v>
      </c>
      <c r="I37" s="2" t="e">
        <f>VLOOKUP(D37,Table2678[[WORDS]:[PITCH LO]],2)</f>
        <v>#N/A</v>
      </c>
      <c r="J37" s="2" t="e">
        <f t="shared" si="2"/>
        <v>#N/A</v>
      </c>
      <c r="K37" s="5" t="e">
        <f>VLOOKUP(J37,'Pitch Pcts'!$A$1:$B$13,2)</f>
        <v>#N/A</v>
      </c>
      <c r="L37" s="5" t="e">
        <f>ROUND(VLOOKUP(D37,Table2678[[WORDS]:[%]],5)/E37,0)</f>
        <v>#N/A</v>
      </c>
      <c r="R37" s="6" t="s">
        <v>77</v>
      </c>
      <c r="S37" s="6" t="e">
        <f t="shared" si="3"/>
        <v>#N/A</v>
      </c>
      <c r="T37" s="7" t="s">
        <v>78</v>
      </c>
      <c r="U37" s="6" t="e">
        <f t="shared" si="4"/>
        <v>#N/A</v>
      </c>
      <c r="V37" s="7" t="s">
        <v>82</v>
      </c>
      <c r="W37" s="6">
        <f t="shared" si="6"/>
        <v>0</v>
      </c>
      <c r="X37" s="6" t="s">
        <v>81</v>
      </c>
      <c r="Y37" s="6"/>
      <c r="Z37" s="6"/>
      <c r="AB37" s="1" t="e">
        <f t="shared" si="5"/>
        <v>#N/A</v>
      </c>
    </row>
    <row r="38" spans="3:28" x14ac:dyDescent="0.25">
      <c r="F38" s="11"/>
      <c r="G38" s="2" t="e">
        <f>VLOOKUP(C38,Table4[],2)</f>
        <v>#N/A</v>
      </c>
      <c r="H38" s="2">
        <f t="shared" si="1"/>
        <v>0</v>
      </c>
      <c r="I38" s="2" t="e">
        <f>VLOOKUP(D38,Table2678[[WORDS]:[PITCH LO]],2)</f>
        <v>#N/A</v>
      </c>
      <c r="J38" s="2" t="e">
        <f t="shared" si="2"/>
        <v>#N/A</v>
      </c>
      <c r="K38" s="5" t="e">
        <f>VLOOKUP(J38,'Pitch Pcts'!$A$1:$B$13,2)</f>
        <v>#N/A</v>
      </c>
      <c r="L38" s="5" t="e">
        <f>ROUND(VLOOKUP(D38,Table2678[[WORDS]:[%]],5)/E38,0)</f>
        <v>#N/A</v>
      </c>
      <c r="R38" s="6" t="s">
        <v>77</v>
      </c>
      <c r="S38" s="6" t="e">
        <f t="shared" si="3"/>
        <v>#N/A</v>
      </c>
      <c r="T38" s="7" t="s">
        <v>78</v>
      </c>
      <c r="U38" s="6" t="e">
        <f t="shared" si="4"/>
        <v>#N/A</v>
      </c>
      <c r="V38" s="7" t="s">
        <v>82</v>
      </c>
      <c r="W38" s="6">
        <f t="shared" si="6"/>
        <v>0</v>
      </c>
      <c r="X38" s="6" t="s">
        <v>81</v>
      </c>
      <c r="Y38" s="6"/>
      <c r="Z38" s="6"/>
      <c r="AB38" s="1" t="e">
        <f t="shared" si="5"/>
        <v>#N/A</v>
      </c>
    </row>
    <row r="39" spans="3:28" x14ac:dyDescent="0.25">
      <c r="F39" s="11"/>
      <c r="G39" s="2" t="e">
        <f>VLOOKUP(C39,Table4[],2)</f>
        <v>#N/A</v>
      </c>
      <c r="H39" s="2">
        <f t="shared" si="1"/>
        <v>0</v>
      </c>
      <c r="I39" s="2" t="e">
        <f>VLOOKUP(D39,Table2678[[WORDS]:[PITCH LO]],2)</f>
        <v>#N/A</v>
      </c>
      <c r="J39" s="2" t="e">
        <f t="shared" si="2"/>
        <v>#N/A</v>
      </c>
      <c r="K39" s="5" t="e">
        <f>VLOOKUP(J39,'Pitch Pcts'!$A$1:$B$13,2)</f>
        <v>#N/A</v>
      </c>
      <c r="L39" s="5" t="e">
        <f>ROUND(VLOOKUP(D39,Table2678[[WORDS]:[%]],5)/E39,0)</f>
        <v>#N/A</v>
      </c>
      <c r="R39" s="6" t="s">
        <v>77</v>
      </c>
      <c r="S39" s="6" t="e">
        <f t="shared" si="3"/>
        <v>#N/A</v>
      </c>
      <c r="T39" s="7" t="s">
        <v>78</v>
      </c>
      <c r="U39" s="6" t="e">
        <f t="shared" si="4"/>
        <v>#N/A</v>
      </c>
      <c r="V39" s="7" t="s">
        <v>82</v>
      </c>
      <c r="W39" s="6">
        <f t="shared" si="6"/>
        <v>0</v>
      </c>
      <c r="X39" s="6" t="s">
        <v>81</v>
      </c>
      <c r="Y39" s="6"/>
      <c r="Z39" s="6"/>
      <c r="AB39" s="1" t="e">
        <f t="shared" si="5"/>
        <v>#N/A</v>
      </c>
    </row>
    <row r="40" spans="3:28" x14ac:dyDescent="0.25">
      <c r="F40" s="11"/>
      <c r="G40" s="2" t="e">
        <f>VLOOKUP(C40,Table4[],2)</f>
        <v>#N/A</v>
      </c>
      <c r="H40" s="2">
        <f t="shared" si="1"/>
        <v>0</v>
      </c>
      <c r="I40" s="2" t="e">
        <f>VLOOKUP(D40,Table2678[[WORDS]:[PITCH LO]],2)</f>
        <v>#N/A</v>
      </c>
      <c r="J40" s="2" t="e">
        <f t="shared" si="2"/>
        <v>#N/A</v>
      </c>
      <c r="K40" s="5" t="e">
        <f>VLOOKUP(J40,'Pitch Pcts'!$A$1:$B$13,2)</f>
        <v>#N/A</v>
      </c>
      <c r="L40" s="5" t="e">
        <f>ROUND(VLOOKUP(D40,Table2678[[WORDS]:[%]],5)/E40,0)</f>
        <v>#N/A</v>
      </c>
      <c r="R40" s="6" t="s">
        <v>77</v>
      </c>
      <c r="S40" s="6" t="e">
        <f t="shared" si="3"/>
        <v>#N/A</v>
      </c>
      <c r="T40" s="7" t="s">
        <v>78</v>
      </c>
      <c r="U40" s="6" t="e">
        <f t="shared" si="4"/>
        <v>#N/A</v>
      </c>
      <c r="V40" s="7" t="s">
        <v>82</v>
      </c>
      <c r="W40" s="6">
        <f t="shared" si="6"/>
        <v>0</v>
      </c>
      <c r="X40" s="6" t="s">
        <v>81</v>
      </c>
      <c r="Y40" s="6"/>
      <c r="Z40" s="6"/>
      <c r="AB40" s="1" t="e">
        <f t="shared" si="5"/>
        <v>#N/A</v>
      </c>
    </row>
    <row r="41" spans="3:28" x14ac:dyDescent="0.25">
      <c r="F41" s="11"/>
      <c r="G41" s="2" t="e">
        <f>VLOOKUP(C41,Table4[],2)</f>
        <v>#N/A</v>
      </c>
      <c r="H41" s="2">
        <f t="shared" si="1"/>
        <v>0</v>
      </c>
      <c r="I41" s="2" t="e">
        <f>VLOOKUP(D41,Table2678[[WORDS]:[PITCH LO]],2)</f>
        <v>#N/A</v>
      </c>
      <c r="J41" s="2" t="e">
        <f t="shared" si="2"/>
        <v>#N/A</v>
      </c>
      <c r="K41" s="5" t="e">
        <f>VLOOKUP(J41,'Pitch Pcts'!$A$1:$B$13,2)</f>
        <v>#N/A</v>
      </c>
      <c r="L41" s="5" t="e">
        <f>ROUND(VLOOKUP(D41,Table2678[[WORDS]:[%]],5)/E41,0)</f>
        <v>#N/A</v>
      </c>
      <c r="R41" s="6" t="s">
        <v>77</v>
      </c>
      <c r="S41" s="6" t="e">
        <f t="shared" si="3"/>
        <v>#N/A</v>
      </c>
      <c r="T41" s="7" t="s">
        <v>78</v>
      </c>
      <c r="U41" s="6" t="e">
        <f t="shared" si="4"/>
        <v>#N/A</v>
      </c>
      <c r="V41" s="7" t="s">
        <v>82</v>
      </c>
      <c r="W41" s="6">
        <f t="shared" si="6"/>
        <v>0</v>
      </c>
      <c r="X41" s="6" t="s">
        <v>81</v>
      </c>
      <c r="Y41" s="6"/>
      <c r="Z41" s="6"/>
      <c r="AB41" s="1" t="e">
        <f t="shared" si="5"/>
        <v>#N/A</v>
      </c>
    </row>
    <row r="42" spans="3:28" x14ac:dyDescent="0.25">
      <c r="F42" s="11"/>
      <c r="G42" s="2" t="e">
        <f>VLOOKUP(C42,Table4[],2)</f>
        <v>#N/A</v>
      </c>
      <c r="H42" s="2">
        <f t="shared" si="1"/>
        <v>0</v>
      </c>
      <c r="I42" s="2" t="e">
        <f>VLOOKUP(D42,Table2678[[WORDS]:[PITCH LO]],2)</f>
        <v>#N/A</v>
      </c>
      <c r="J42" s="2" t="e">
        <f t="shared" si="2"/>
        <v>#N/A</v>
      </c>
      <c r="K42" s="5" t="e">
        <f>VLOOKUP(J42,'Pitch Pcts'!$A$1:$B$13,2)</f>
        <v>#N/A</v>
      </c>
      <c r="L42" s="5" t="e">
        <f>ROUND(VLOOKUP(D42,Table2678[[WORDS]:[%]],5)/E42,0)</f>
        <v>#N/A</v>
      </c>
      <c r="R42" s="6" t="s">
        <v>77</v>
      </c>
      <c r="S42" s="6" t="e">
        <f t="shared" si="3"/>
        <v>#N/A</v>
      </c>
      <c r="T42" s="7" t="s">
        <v>78</v>
      </c>
      <c r="U42" s="6" t="e">
        <f t="shared" si="4"/>
        <v>#N/A</v>
      </c>
      <c r="V42" s="7" t="s">
        <v>82</v>
      </c>
      <c r="W42" s="6">
        <f t="shared" si="6"/>
        <v>0</v>
      </c>
      <c r="X42" s="6" t="s">
        <v>81</v>
      </c>
      <c r="Y42" s="6"/>
      <c r="Z42" s="6"/>
      <c r="AB42" s="1" t="e">
        <f t="shared" si="5"/>
        <v>#N/A</v>
      </c>
    </row>
    <row r="43" spans="3:28" x14ac:dyDescent="0.25">
      <c r="F43" s="11"/>
      <c r="G43" s="2" t="e">
        <f>VLOOKUP(C43,Table4[],2)</f>
        <v>#N/A</v>
      </c>
      <c r="H43" s="2">
        <f t="shared" si="1"/>
        <v>0</v>
      </c>
      <c r="I43" s="2" t="e">
        <f>VLOOKUP(D43,Table2678[[WORDS]:[PITCH LO]],2)</f>
        <v>#N/A</v>
      </c>
      <c r="J43" s="2" t="e">
        <f t="shared" si="2"/>
        <v>#N/A</v>
      </c>
      <c r="K43" s="5" t="e">
        <f>VLOOKUP(J43,'Pitch Pcts'!$A$1:$B$13,2)</f>
        <v>#N/A</v>
      </c>
      <c r="L43" s="5" t="e">
        <f>ROUND(VLOOKUP(D43,Table2678[[WORDS]:[%]],5)/E43,0)</f>
        <v>#N/A</v>
      </c>
      <c r="R43" s="6" t="s">
        <v>77</v>
      </c>
      <c r="S43" s="6" t="e">
        <f t="shared" si="3"/>
        <v>#N/A</v>
      </c>
      <c r="T43" s="7" t="s">
        <v>78</v>
      </c>
      <c r="U43" s="6" t="e">
        <f t="shared" si="4"/>
        <v>#N/A</v>
      </c>
      <c r="V43" s="7" t="s">
        <v>82</v>
      </c>
      <c r="W43" s="6">
        <f t="shared" si="6"/>
        <v>0</v>
      </c>
      <c r="X43" s="6" t="s">
        <v>81</v>
      </c>
      <c r="Y43" s="6"/>
      <c r="Z43" s="6"/>
      <c r="AB43" s="1" t="e">
        <f t="shared" si="5"/>
        <v>#N/A</v>
      </c>
    </row>
    <row r="44" spans="3:28" x14ac:dyDescent="0.25">
      <c r="F44" s="11"/>
      <c r="G44" s="2" t="e">
        <f>VLOOKUP(C44,Table4[],2)</f>
        <v>#N/A</v>
      </c>
      <c r="H44" s="2">
        <f t="shared" si="1"/>
        <v>0</v>
      </c>
      <c r="I44" s="2" t="e">
        <f>VLOOKUP(D44,Table2678[[WORDS]:[PITCH LO]],2)</f>
        <v>#N/A</v>
      </c>
      <c r="J44" s="2" t="e">
        <f t="shared" si="2"/>
        <v>#N/A</v>
      </c>
      <c r="K44" s="5" t="e">
        <f>VLOOKUP(J44,'Pitch Pcts'!$A$1:$B$13,2)</f>
        <v>#N/A</v>
      </c>
      <c r="L44" s="5" t="e">
        <f>ROUND(VLOOKUP(D44,Table2678[[WORDS]:[%]],5)/E44,0)</f>
        <v>#N/A</v>
      </c>
      <c r="R44" s="6" t="s">
        <v>77</v>
      </c>
      <c r="S44" s="6" t="e">
        <f t="shared" si="3"/>
        <v>#N/A</v>
      </c>
      <c r="T44" s="7" t="s">
        <v>78</v>
      </c>
      <c r="U44" s="6" t="e">
        <f t="shared" si="4"/>
        <v>#N/A</v>
      </c>
      <c r="V44" s="7" t="s">
        <v>82</v>
      </c>
      <c r="W44" s="6">
        <f t="shared" si="6"/>
        <v>0</v>
      </c>
      <c r="X44" s="6" t="s">
        <v>81</v>
      </c>
      <c r="Y44" s="6"/>
      <c r="Z44" s="6"/>
      <c r="AB44" s="1" t="e">
        <f t="shared" si="5"/>
        <v>#N/A</v>
      </c>
    </row>
    <row r="45" spans="3:28" x14ac:dyDescent="0.25">
      <c r="F45" s="11"/>
      <c r="G45" s="2" t="e">
        <f>VLOOKUP(C45,Table4[],2)</f>
        <v>#N/A</v>
      </c>
      <c r="H45" s="2">
        <f t="shared" si="1"/>
        <v>0</v>
      </c>
      <c r="I45" s="2" t="e">
        <f>VLOOKUP(D45,Table2678[[WORDS]:[PITCH LO]],2)</f>
        <v>#N/A</v>
      </c>
      <c r="J45" s="2" t="e">
        <f t="shared" si="2"/>
        <v>#N/A</v>
      </c>
      <c r="K45" s="5" t="e">
        <f>VLOOKUP(J45,'Pitch Pcts'!$A$1:$B$13,2)</f>
        <v>#N/A</v>
      </c>
      <c r="L45" s="5" t="e">
        <f>ROUND(VLOOKUP(D45,Table2678[[WORDS]:[%]],5)/E45,0)</f>
        <v>#N/A</v>
      </c>
      <c r="R45" s="6" t="s">
        <v>77</v>
      </c>
      <c r="S45" s="6" t="e">
        <f t="shared" si="3"/>
        <v>#N/A</v>
      </c>
      <c r="T45" s="7" t="s">
        <v>78</v>
      </c>
      <c r="U45" s="6" t="e">
        <f t="shared" si="4"/>
        <v>#N/A</v>
      </c>
      <c r="V45" s="7" t="s">
        <v>82</v>
      </c>
      <c r="W45" s="6">
        <f t="shared" si="6"/>
        <v>0</v>
      </c>
      <c r="X45" s="6" t="s">
        <v>81</v>
      </c>
      <c r="Y45" s="6"/>
      <c r="Z45" s="6"/>
      <c r="AB45" s="1" t="e">
        <f t="shared" si="5"/>
        <v>#N/A</v>
      </c>
    </row>
    <row r="46" spans="3:28" x14ac:dyDescent="0.25">
      <c r="F46" s="11"/>
      <c r="G46" s="2" t="e">
        <f>VLOOKUP(C46,Table4[],2)</f>
        <v>#N/A</v>
      </c>
      <c r="H46" s="2">
        <f t="shared" si="1"/>
        <v>0</v>
      </c>
      <c r="I46" s="2" t="e">
        <f>VLOOKUP(D46,Table2678[[WORDS]:[PITCH LO]],2)</f>
        <v>#N/A</v>
      </c>
      <c r="J46" s="2" t="e">
        <f t="shared" si="2"/>
        <v>#N/A</v>
      </c>
      <c r="K46" s="5" t="e">
        <f>VLOOKUP(J46,'Pitch Pcts'!$A$1:$B$13,2)</f>
        <v>#N/A</v>
      </c>
      <c r="L46" s="5" t="e">
        <f>ROUND(VLOOKUP(D46,Table2678[[WORDS]:[%]],5)/E46,0)</f>
        <v>#N/A</v>
      </c>
      <c r="R46" s="6" t="s">
        <v>77</v>
      </c>
      <c r="S46" s="6" t="e">
        <f t="shared" si="3"/>
        <v>#N/A</v>
      </c>
      <c r="T46" s="7" t="s">
        <v>78</v>
      </c>
      <c r="U46" s="6" t="e">
        <f t="shared" si="4"/>
        <v>#N/A</v>
      </c>
      <c r="V46" s="7" t="s">
        <v>82</v>
      </c>
      <c r="W46" s="6">
        <f t="shared" si="6"/>
        <v>0</v>
      </c>
      <c r="X46" s="6" t="s">
        <v>81</v>
      </c>
      <c r="Y46" s="6"/>
      <c r="Z46" s="6"/>
      <c r="AB46" s="1" t="e">
        <f t="shared" si="5"/>
        <v>#N/A</v>
      </c>
    </row>
    <row r="47" spans="3:28" x14ac:dyDescent="0.25">
      <c r="F47" s="11"/>
      <c r="G47" s="2" t="e">
        <f>VLOOKUP(C47,Table4[],2)</f>
        <v>#N/A</v>
      </c>
      <c r="H47" s="2">
        <f t="shared" si="1"/>
        <v>0</v>
      </c>
      <c r="I47" s="2" t="e">
        <f>VLOOKUP(D47,Table2678[[WORDS]:[PITCH LO]],2)</f>
        <v>#N/A</v>
      </c>
      <c r="J47" s="2" t="e">
        <f t="shared" si="2"/>
        <v>#N/A</v>
      </c>
      <c r="K47" s="5" t="e">
        <f>VLOOKUP(J47,'Pitch Pcts'!$A$1:$B$13,2)</f>
        <v>#N/A</v>
      </c>
      <c r="L47" s="5" t="e">
        <f>ROUND(VLOOKUP(D47,Table2678[[WORDS]:[%]],5)/E47,0)</f>
        <v>#N/A</v>
      </c>
      <c r="R47" s="6" t="s">
        <v>77</v>
      </c>
      <c r="S47" s="6" t="e">
        <f t="shared" si="3"/>
        <v>#N/A</v>
      </c>
      <c r="T47" s="7" t="s">
        <v>78</v>
      </c>
      <c r="U47" s="6" t="e">
        <f t="shared" si="4"/>
        <v>#N/A</v>
      </c>
      <c r="V47" s="7" t="s">
        <v>82</v>
      </c>
      <c r="W47" s="6">
        <f t="shared" si="6"/>
        <v>0</v>
      </c>
      <c r="X47" s="6" t="s">
        <v>81</v>
      </c>
      <c r="Y47" s="6"/>
      <c r="Z47" s="6"/>
      <c r="AB47" s="1" t="e">
        <f t="shared" si="5"/>
        <v>#N/A</v>
      </c>
    </row>
    <row r="48" spans="3:28" x14ac:dyDescent="0.25">
      <c r="F48" s="11"/>
      <c r="G48" s="2" t="e">
        <f>VLOOKUP(C48,Table4[],2)</f>
        <v>#N/A</v>
      </c>
      <c r="H48" s="2">
        <f t="shared" si="1"/>
        <v>0</v>
      </c>
      <c r="I48" s="2" t="e">
        <f>VLOOKUP(D48,Table2678[[WORDS]:[PITCH LO]],2)</f>
        <v>#N/A</v>
      </c>
      <c r="J48" s="2" t="e">
        <f t="shared" si="2"/>
        <v>#N/A</v>
      </c>
      <c r="K48" s="5" t="e">
        <f>VLOOKUP(J48,'Pitch Pcts'!$A$1:$B$13,2)</f>
        <v>#N/A</v>
      </c>
      <c r="L48" s="5" t="e">
        <f>ROUND(VLOOKUP(D48,Table2678[[WORDS]:[%]],5)/E48,0)</f>
        <v>#N/A</v>
      </c>
      <c r="R48" s="6" t="s">
        <v>77</v>
      </c>
      <c r="S48" s="6" t="e">
        <f t="shared" si="3"/>
        <v>#N/A</v>
      </c>
      <c r="T48" s="7" t="s">
        <v>78</v>
      </c>
      <c r="U48" s="6" t="e">
        <f t="shared" si="4"/>
        <v>#N/A</v>
      </c>
      <c r="V48" s="7" t="s">
        <v>82</v>
      </c>
      <c r="W48" s="6">
        <f t="shared" ref="W48:W50" si="9">D49</f>
        <v>0</v>
      </c>
      <c r="X48" s="6" t="s">
        <v>81</v>
      </c>
      <c r="Y48" s="6"/>
      <c r="Z48" s="6"/>
      <c r="AB48" s="1" t="e">
        <f t="shared" si="5"/>
        <v>#N/A</v>
      </c>
    </row>
    <row r="49" spans="6:28" x14ac:dyDescent="0.25">
      <c r="F49" s="11"/>
      <c r="G49" s="2" t="e">
        <f>VLOOKUP(C49,Table4[],2)</f>
        <v>#N/A</v>
      </c>
      <c r="H49" s="2">
        <f t="shared" si="1"/>
        <v>0</v>
      </c>
      <c r="I49" s="2" t="e">
        <f>VLOOKUP(D49,Table2678[[WORDS]:[PITCH LO]],2)</f>
        <v>#N/A</v>
      </c>
      <c r="J49" s="2" t="e">
        <f t="shared" si="2"/>
        <v>#N/A</v>
      </c>
      <c r="K49" s="5" t="e">
        <f>VLOOKUP(J49,'Pitch Pcts'!$A$1:$B$13,2)</f>
        <v>#N/A</v>
      </c>
      <c r="L49" s="5" t="e">
        <f>ROUND(VLOOKUP(D49,Table2678[[WORDS]:[%]],5)/E49,0)</f>
        <v>#N/A</v>
      </c>
      <c r="R49" s="6" t="s">
        <v>77</v>
      </c>
      <c r="S49" s="6" t="e">
        <f t="shared" si="3"/>
        <v>#N/A</v>
      </c>
      <c r="T49" s="7" t="s">
        <v>78</v>
      </c>
      <c r="U49" s="6" t="e">
        <f t="shared" si="4"/>
        <v>#N/A</v>
      </c>
      <c r="V49" s="7" t="s">
        <v>82</v>
      </c>
      <c r="W49" s="6">
        <f t="shared" si="9"/>
        <v>0</v>
      </c>
      <c r="X49" s="6" t="s">
        <v>81</v>
      </c>
      <c r="Y49" s="6"/>
      <c r="Z49" s="6"/>
      <c r="AB49" s="1" t="e">
        <f t="shared" si="5"/>
        <v>#N/A</v>
      </c>
    </row>
    <row r="50" spans="6:28" x14ac:dyDescent="0.25">
      <c r="F50" s="11"/>
      <c r="G50" s="2" t="e">
        <f>VLOOKUP(C50,Table4[],2)</f>
        <v>#N/A</v>
      </c>
      <c r="H50" s="2">
        <f t="shared" si="1"/>
        <v>0</v>
      </c>
      <c r="I50" s="2" t="e">
        <f>VLOOKUP(D50,Table2678[[WORDS]:[PITCH LO]],2)</f>
        <v>#N/A</v>
      </c>
      <c r="J50" s="2" t="e">
        <f t="shared" si="2"/>
        <v>#N/A</v>
      </c>
      <c r="K50" s="5" t="e">
        <f>VLOOKUP(J50,'Pitch Pcts'!$A$1:$B$13,2)</f>
        <v>#N/A</v>
      </c>
      <c r="L50" s="5" t="e">
        <f>ROUND(VLOOKUP(D50,Table2678[[WORDS]:[%]],5)/E50,0)</f>
        <v>#N/A</v>
      </c>
      <c r="R50" s="6" t="s">
        <v>77</v>
      </c>
      <c r="S50" s="6" t="e">
        <f t="shared" si="3"/>
        <v>#N/A</v>
      </c>
      <c r="T50" s="7" t="s">
        <v>78</v>
      </c>
      <c r="U50" s="6" t="e">
        <f t="shared" si="4"/>
        <v>#N/A</v>
      </c>
      <c r="V50" s="7" t="s">
        <v>82</v>
      </c>
      <c r="W50" s="6">
        <f t="shared" si="9"/>
        <v>0</v>
      </c>
      <c r="X50" s="6" t="s">
        <v>81</v>
      </c>
      <c r="Y50" s="6"/>
      <c r="Z50" s="6"/>
      <c r="AB50" s="1" t="e">
        <f t="shared" si="5"/>
        <v>#N/A</v>
      </c>
    </row>
    <row r="51" spans="6:28" x14ac:dyDescent="0.25">
      <c r="F51" s="11"/>
      <c r="G51" s="2" t="e">
        <f>VLOOKUP(C51,Table4[],2)</f>
        <v>#N/A</v>
      </c>
      <c r="H51" s="2">
        <f t="shared" si="1"/>
        <v>0</v>
      </c>
      <c r="I51" s="2" t="e">
        <f>VLOOKUP(D51,Table2678[[WORDS]:[PITCH LO]],2)</f>
        <v>#N/A</v>
      </c>
      <c r="J51" s="2" t="e">
        <f t="shared" si="2"/>
        <v>#N/A</v>
      </c>
      <c r="K51" s="5" t="e">
        <f>VLOOKUP(J51,'Pitch Pcts'!$A$1:$B$13,2)</f>
        <v>#N/A</v>
      </c>
      <c r="L51" s="5" t="e">
        <f>ROUND(VLOOKUP(D51,Table2678[[WORDS]:[%]],5)/E51,0)</f>
        <v>#N/A</v>
      </c>
      <c r="R51" s="6" t="s">
        <v>77</v>
      </c>
      <c r="S51" s="6" t="e">
        <f t="shared" si="3"/>
        <v>#N/A</v>
      </c>
      <c r="T51" s="7" t="s">
        <v>78</v>
      </c>
      <c r="U51" s="6" t="e">
        <f t="shared" si="4"/>
        <v>#N/A</v>
      </c>
      <c r="V51" s="7" t="s">
        <v>82</v>
      </c>
      <c r="W51" s="6">
        <f t="shared" ref="W51" si="10">D51</f>
        <v>0</v>
      </c>
      <c r="X51" s="6" t="s">
        <v>81</v>
      </c>
      <c r="Y51" s="6"/>
      <c r="Z51" s="6"/>
      <c r="AB51" s="1" t="e">
        <f t="shared" si="5"/>
        <v>#N/A</v>
      </c>
    </row>
  </sheetData>
  <conditionalFormatting sqref="P7:AC7 P8:T9 P10:X10 P2:AP6 AI8:AP11">
    <cfRule type="containsText" dxfId="14" priority="16" operator="containsText" text="X">
      <formula>NOT(ISERROR(SEARCH("X",P2)))</formula>
    </cfRule>
  </conditionalFormatting>
  <conditionalFormatting sqref="AD7:AP7">
    <cfRule type="containsText" dxfId="13" priority="15" operator="containsText" text="X">
      <formula>NOT(ISERROR(SEARCH("X",AD7)))</formula>
    </cfRule>
  </conditionalFormatting>
  <conditionalFormatting sqref="U8:AH8">
    <cfRule type="containsText" dxfId="12" priority="13" operator="containsText" text="X">
      <formula>NOT(ISERROR(SEARCH("X",U8)))</formula>
    </cfRule>
  </conditionalFormatting>
  <conditionalFormatting sqref="U9:AH9">
    <cfRule type="containsText" dxfId="11" priority="12" operator="containsText" text="X">
      <formula>NOT(ISERROR(SEARCH("X",U9)))</formula>
    </cfRule>
  </conditionalFormatting>
  <conditionalFormatting sqref="Y10:AH10">
    <cfRule type="containsText" dxfId="10" priority="11" operator="containsText" text="X">
      <formula>NOT(ISERROR(SEARCH("X",Y10)))</formula>
    </cfRule>
  </conditionalFormatting>
  <conditionalFormatting sqref="X11:AH11">
    <cfRule type="containsText" dxfId="9" priority="7" operator="containsText" text="X">
      <formula>NOT(ISERROR(SEARCH("X",X11)))</formula>
    </cfRule>
  </conditionalFormatting>
  <conditionalFormatting sqref="P12:AP12">
    <cfRule type="containsText" dxfId="8" priority="6" operator="containsText" text="X">
      <formula>NOT(ISERROR(SEARCH("X",P12)))</formula>
    </cfRule>
  </conditionalFormatting>
  <conditionalFormatting sqref="L18:L51">
    <cfRule type="cellIs" dxfId="7" priority="4" operator="lessThan">
      <formula>50</formula>
    </cfRule>
  </conditionalFormatting>
  <conditionalFormatting sqref="D2:D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F813-2CA6-4015-BB61-D49651BB676A}">
  <sheetPr codeName="Sheet8"/>
  <dimension ref="A2:O23"/>
  <sheetViews>
    <sheetView workbookViewId="0">
      <selection activeCell="E9" sqref="E9"/>
    </sheetView>
  </sheetViews>
  <sheetFormatPr defaultRowHeight="15" x14ac:dyDescent="0.25"/>
  <cols>
    <col min="2" max="2" width="5.140625" style="13" customWidth="1"/>
    <col min="3" max="8" width="4.140625" style="12" customWidth="1"/>
    <col min="9" max="14" width="6" style="13" customWidth="1"/>
  </cols>
  <sheetData>
    <row r="2" spans="1:15" x14ac:dyDescent="0.25">
      <c r="A2" t="s">
        <v>92</v>
      </c>
      <c r="O2" t="s">
        <v>101</v>
      </c>
    </row>
    <row r="3" spans="1:15" x14ac:dyDescent="0.25">
      <c r="A3" s="14">
        <v>124</v>
      </c>
      <c r="O3">
        <f>ROUND(60000/Tempo,0)</f>
        <v>484</v>
      </c>
    </row>
    <row r="4" spans="1:15" x14ac:dyDescent="0.25">
      <c r="A4" s="15" t="s">
        <v>100</v>
      </c>
    </row>
    <row r="5" spans="1:15" x14ac:dyDescent="0.25">
      <c r="A5" s="14">
        <v>0</v>
      </c>
    </row>
    <row r="8" spans="1:15" x14ac:dyDescent="0.25">
      <c r="A8" t="s">
        <v>85</v>
      </c>
      <c r="C8" s="12" t="s">
        <v>94</v>
      </c>
      <c r="D8" s="12" t="s">
        <v>95</v>
      </c>
      <c r="E8" s="12" t="s">
        <v>96</v>
      </c>
      <c r="F8" s="12" t="s">
        <v>97</v>
      </c>
      <c r="G8" s="12" t="s">
        <v>98</v>
      </c>
      <c r="H8" s="12" t="s">
        <v>99</v>
      </c>
    </row>
    <row r="9" spans="1:15" x14ac:dyDescent="0.25">
      <c r="A9" t="s">
        <v>26</v>
      </c>
      <c r="B9" s="13">
        <f>IF(A9&lt;&gt;"",VLOOKUP(A9,Table4[],2),"")</f>
        <v>18</v>
      </c>
      <c r="I9" s="13" t="str">
        <f>IF(C9="","",0.25)</f>
        <v/>
      </c>
      <c r="J9" s="13" t="str">
        <f>IF(D9="","",0.5)</f>
        <v/>
      </c>
      <c r="K9" s="13" t="str">
        <f>IF(E9="","",1)</f>
        <v/>
      </c>
      <c r="L9" s="13" t="str">
        <f>IF(F9="","",2)</f>
        <v/>
      </c>
      <c r="M9" s="13" t="str">
        <f>IF(G9="","",4)</f>
        <v/>
      </c>
      <c r="N9" s="13">
        <f>IF(H9="",SUM(I9:M9),SUM(I9:M9)*1.5)</f>
        <v>0</v>
      </c>
      <c r="O9">
        <f>ROUND(BaseMS*N9,0)</f>
        <v>0</v>
      </c>
    </row>
    <row r="23" spans="6:6" x14ac:dyDescent="0.25">
      <c r="F23" s="12" t="e">
        <f>ROUND(60000/D23,0)</f>
        <v>#DIV/0!</v>
      </c>
    </row>
  </sheetData>
  <dataValidations count="1">
    <dataValidation type="list" allowBlank="1" showInputMessage="1" showErrorMessage="1" sqref="A9:A43" xr:uid="{E017BDDB-16A6-42DD-9C34-5A20335B681D}">
      <formula1>NoteNamesNew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2E06-8520-4FB2-A00E-2B536B293381}">
  <sheetPr codeName="Sheet9"/>
  <dimension ref="A1:D11"/>
  <sheetViews>
    <sheetView workbookViewId="0">
      <selection activeCell="D4" sqref="D4"/>
    </sheetView>
  </sheetViews>
  <sheetFormatPr defaultRowHeight="15" x14ac:dyDescent="0.25"/>
  <sheetData>
    <row r="1" spans="1:4" x14ac:dyDescent="0.25">
      <c r="A1" t="s">
        <v>4</v>
      </c>
      <c r="B1">
        <v>21</v>
      </c>
      <c r="C1">
        <v>96</v>
      </c>
      <c r="D1" s="8">
        <f t="shared" ref="D1:D11" si="0">INT((60/C1)*1000)</f>
        <v>625</v>
      </c>
    </row>
    <row r="2" spans="1:4" x14ac:dyDescent="0.25">
      <c r="A2" t="s">
        <v>3</v>
      </c>
      <c r="B2">
        <v>25</v>
      </c>
      <c r="C2">
        <v>180</v>
      </c>
      <c r="D2" s="9">
        <f t="shared" si="0"/>
        <v>333</v>
      </c>
    </row>
    <row r="3" spans="1:4" x14ac:dyDescent="0.25">
      <c r="A3" t="s">
        <v>5</v>
      </c>
      <c r="B3">
        <v>21</v>
      </c>
      <c r="C3">
        <v>128</v>
      </c>
      <c r="D3" s="9">
        <f t="shared" si="0"/>
        <v>468</v>
      </c>
    </row>
    <row r="4" spans="1:4" x14ac:dyDescent="0.25">
      <c r="A4" t="s">
        <v>0</v>
      </c>
      <c r="B4">
        <v>11</v>
      </c>
      <c r="C4">
        <v>137</v>
      </c>
      <c r="D4" s="9">
        <f t="shared" si="0"/>
        <v>437</v>
      </c>
    </row>
    <row r="5" spans="1:4" x14ac:dyDescent="0.25">
      <c r="A5" t="s">
        <v>1</v>
      </c>
      <c r="B5">
        <v>20</v>
      </c>
      <c r="C5">
        <v>85</v>
      </c>
      <c r="D5" s="9">
        <f t="shared" si="0"/>
        <v>705</v>
      </c>
    </row>
    <row r="6" spans="1:4" x14ac:dyDescent="0.25">
      <c r="A6" t="s">
        <v>11</v>
      </c>
      <c r="B6">
        <v>23</v>
      </c>
      <c r="C6">
        <v>169</v>
      </c>
      <c r="D6" s="8">
        <f t="shared" si="0"/>
        <v>355</v>
      </c>
    </row>
    <row r="7" spans="1:4" x14ac:dyDescent="0.25">
      <c r="A7" t="s">
        <v>6</v>
      </c>
      <c r="B7">
        <v>23</v>
      </c>
      <c r="C7">
        <v>154</v>
      </c>
      <c r="D7" s="9">
        <f t="shared" si="0"/>
        <v>389</v>
      </c>
    </row>
    <row r="8" spans="1:4" x14ac:dyDescent="0.25">
      <c r="A8" t="s">
        <v>2</v>
      </c>
      <c r="B8">
        <v>21</v>
      </c>
      <c r="C8">
        <v>180</v>
      </c>
      <c r="D8" s="8">
        <f t="shared" si="0"/>
        <v>333</v>
      </c>
    </row>
    <row r="9" spans="1:4" x14ac:dyDescent="0.25">
      <c r="A9" t="s">
        <v>7</v>
      </c>
      <c r="B9">
        <v>16</v>
      </c>
      <c r="C9">
        <v>156</v>
      </c>
      <c r="D9" s="9">
        <f t="shared" si="0"/>
        <v>384</v>
      </c>
    </row>
    <row r="10" spans="1:4" x14ac:dyDescent="0.25">
      <c r="A10" t="s">
        <v>8</v>
      </c>
      <c r="B10">
        <v>20</v>
      </c>
      <c r="C10">
        <v>118</v>
      </c>
      <c r="D10" s="9">
        <f t="shared" si="0"/>
        <v>508</v>
      </c>
    </row>
    <row r="11" spans="1:4" x14ac:dyDescent="0.25">
      <c r="A11" t="s">
        <v>86</v>
      </c>
      <c r="B11">
        <v>21</v>
      </c>
      <c r="C11">
        <v>146</v>
      </c>
      <c r="D11" s="10">
        <f t="shared" si="0"/>
        <v>410</v>
      </c>
    </row>
  </sheetData>
  <conditionalFormatting sqref="D1:D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B681-EAE9-4ED7-A0ED-743E0E704704}">
  <sheetPr codeName="Sheet2"/>
  <dimension ref="A1:B13"/>
  <sheetViews>
    <sheetView workbookViewId="0">
      <selection sqref="A1:B13"/>
    </sheetView>
  </sheetViews>
  <sheetFormatPr defaultRowHeight="15" x14ac:dyDescent="0.25"/>
  <cols>
    <col min="2" max="2" width="9.140625" style="3"/>
  </cols>
  <sheetData>
    <row r="1" spans="1:2" x14ac:dyDescent="0.25">
      <c r="A1">
        <v>0</v>
      </c>
      <c r="B1" s="3">
        <v>-25</v>
      </c>
    </row>
    <row r="2" spans="1:2" x14ac:dyDescent="0.25">
      <c r="A2">
        <v>1</v>
      </c>
      <c r="B2" s="3">
        <v>-20</v>
      </c>
    </row>
    <row r="3" spans="1:2" x14ac:dyDescent="0.25">
      <c r="A3">
        <v>2</v>
      </c>
      <c r="B3" s="3">
        <v>-15</v>
      </c>
    </row>
    <row r="4" spans="1:2" x14ac:dyDescent="0.25">
      <c r="A4">
        <v>3</v>
      </c>
      <c r="B4" s="3">
        <v>-10</v>
      </c>
    </row>
    <row r="5" spans="1:2" x14ac:dyDescent="0.25">
      <c r="A5">
        <v>4</v>
      </c>
      <c r="B5" s="3">
        <v>-5</v>
      </c>
    </row>
    <row r="6" spans="1:2" x14ac:dyDescent="0.25">
      <c r="A6">
        <v>5</v>
      </c>
      <c r="B6" s="19" t="s">
        <v>83</v>
      </c>
    </row>
    <row r="7" spans="1:2" x14ac:dyDescent="0.25">
      <c r="A7">
        <v>6</v>
      </c>
      <c r="B7" s="19" t="s">
        <v>70</v>
      </c>
    </row>
    <row r="8" spans="1:2" x14ac:dyDescent="0.25">
      <c r="A8">
        <v>7</v>
      </c>
      <c r="B8" s="19" t="s">
        <v>71</v>
      </c>
    </row>
    <row r="9" spans="1:2" x14ac:dyDescent="0.25">
      <c r="A9">
        <v>8</v>
      </c>
      <c r="B9" s="19" t="s">
        <v>72</v>
      </c>
    </row>
    <row r="10" spans="1:2" x14ac:dyDescent="0.25">
      <c r="A10">
        <v>9</v>
      </c>
      <c r="B10" s="19" t="s">
        <v>73</v>
      </c>
    </row>
    <row r="11" spans="1:2" x14ac:dyDescent="0.25">
      <c r="A11">
        <v>10</v>
      </c>
      <c r="B11" s="19" t="s">
        <v>74</v>
      </c>
    </row>
    <row r="12" spans="1:2" x14ac:dyDescent="0.25">
      <c r="A12">
        <v>11</v>
      </c>
      <c r="B12" s="19" t="s">
        <v>75</v>
      </c>
    </row>
    <row r="13" spans="1:2" x14ac:dyDescent="0.25">
      <c r="A13">
        <v>12</v>
      </c>
      <c r="B13" s="19" t="s">
        <v>76</v>
      </c>
    </row>
  </sheetData>
  <sortState ref="A1:B13">
    <sortCondition ref="A1:A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34D5-E529-455E-A7F6-864DF7AF81FE}">
  <sheetPr codeName="Sheet3"/>
  <dimension ref="A1:B39"/>
  <sheetViews>
    <sheetView topLeftCell="A2" workbookViewId="0">
      <selection activeCell="B2" sqref="A2:B39"/>
    </sheetView>
  </sheetViews>
  <sheetFormatPr defaultRowHeight="15" x14ac:dyDescent="0.25"/>
  <cols>
    <col min="1" max="2" width="11" customWidth="1"/>
  </cols>
  <sheetData>
    <row r="1" spans="1:2" x14ac:dyDescent="0.25">
      <c r="A1" t="s">
        <v>15</v>
      </c>
      <c r="B1" t="s">
        <v>16</v>
      </c>
    </row>
    <row r="2" spans="1:2" x14ac:dyDescent="0.25">
      <c r="A2" s="16" t="s">
        <v>58</v>
      </c>
      <c r="B2">
        <v>23</v>
      </c>
    </row>
    <row r="3" spans="1:2" x14ac:dyDescent="0.25">
      <c r="A3" t="s">
        <v>63</v>
      </c>
      <c r="B3">
        <v>35</v>
      </c>
    </row>
    <row r="4" spans="1:2" x14ac:dyDescent="0.25">
      <c r="A4" t="s">
        <v>30</v>
      </c>
      <c r="B4">
        <v>22</v>
      </c>
    </row>
    <row r="5" spans="1:2" x14ac:dyDescent="0.25">
      <c r="A5" t="s">
        <v>42</v>
      </c>
      <c r="B5">
        <v>34</v>
      </c>
    </row>
    <row r="6" spans="1:2" x14ac:dyDescent="0.25">
      <c r="A6" t="s">
        <v>29</v>
      </c>
      <c r="B6">
        <v>21</v>
      </c>
    </row>
    <row r="7" spans="1:2" x14ac:dyDescent="0.25">
      <c r="A7" t="s">
        <v>41</v>
      </c>
      <c r="B7">
        <v>33</v>
      </c>
    </row>
    <row r="8" spans="1:2" x14ac:dyDescent="0.25">
      <c r="A8" t="s">
        <v>20</v>
      </c>
      <c r="B8">
        <v>12</v>
      </c>
    </row>
    <row r="9" spans="1:2" x14ac:dyDescent="0.25">
      <c r="A9" t="s">
        <v>32</v>
      </c>
      <c r="B9">
        <v>24</v>
      </c>
    </row>
    <row r="10" spans="1:2" x14ac:dyDescent="0.25">
      <c r="A10" t="s">
        <v>44</v>
      </c>
      <c r="B10">
        <v>36</v>
      </c>
    </row>
    <row r="11" spans="1:2" x14ac:dyDescent="0.25">
      <c r="A11" t="s">
        <v>19</v>
      </c>
      <c r="B11">
        <v>11</v>
      </c>
    </row>
    <row r="12" spans="1:2" x14ac:dyDescent="0.25">
      <c r="A12" t="s">
        <v>31</v>
      </c>
      <c r="B12">
        <v>23</v>
      </c>
    </row>
    <row r="13" spans="1:2" x14ac:dyDescent="0.25">
      <c r="A13" t="s">
        <v>43</v>
      </c>
      <c r="B13">
        <v>35</v>
      </c>
    </row>
    <row r="14" spans="1:2" x14ac:dyDescent="0.25">
      <c r="A14" t="s">
        <v>54</v>
      </c>
      <c r="B14">
        <v>14</v>
      </c>
    </row>
    <row r="15" spans="1:2" x14ac:dyDescent="0.25">
      <c r="A15" t="s">
        <v>59</v>
      </c>
      <c r="B15">
        <v>26</v>
      </c>
    </row>
    <row r="16" spans="1:2" x14ac:dyDescent="0.25">
      <c r="A16" t="s">
        <v>21</v>
      </c>
      <c r="B16">
        <v>13</v>
      </c>
    </row>
    <row r="17" spans="1:2" x14ac:dyDescent="0.25">
      <c r="A17" t="s">
        <v>33</v>
      </c>
      <c r="B17">
        <v>25</v>
      </c>
    </row>
    <row r="18" spans="1:2" x14ac:dyDescent="0.25">
      <c r="A18" t="s">
        <v>45</v>
      </c>
      <c r="B18">
        <v>37</v>
      </c>
    </row>
    <row r="19" spans="1:2" x14ac:dyDescent="0.25">
      <c r="A19" t="s">
        <v>55</v>
      </c>
      <c r="B19">
        <v>16</v>
      </c>
    </row>
    <row r="20" spans="1:2" x14ac:dyDescent="0.25">
      <c r="A20" t="s">
        <v>60</v>
      </c>
      <c r="B20">
        <v>28</v>
      </c>
    </row>
    <row r="21" spans="1:2" x14ac:dyDescent="0.25">
      <c r="A21" t="s">
        <v>23</v>
      </c>
      <c r="B21">
        <v>15</v>
      </c>
    </row>
    <row r="22" spans="1:2" x14ac:dyDescent="0.25">
      <c r="A22" t="s">
        <v>35</v>
      </c>
      <c r="B22">
        <v>27</v>
      </c>
    </row>
    <row r="23" spans="1:2" x14ac:dyDescent="0.25">
      <c r="A23" t="s">
        <v>53</v>
      </c>
      <c r="B23">
        <v>14</v>
      </c>
    </row>
    <row r="24" spans="1:2" x14ac:dyDescent="0.25">
      <c r="A24" t="s">
        <v>34</v>
      </c>
      <c r="B24">
        <v>26</v>
      </c>
    </row>
    <row r="25" spans="1:2" x14ac:dyDescent="0.25">
      <c r="A25" t="s">
        <v>25</v>
      </c>
      <c r="B25">
        <v>17</v>
      </c>
    </row>
    <row r="26" spans="1:2" x14ac:dyDescent="0.25">
      <c r="A26" t="s">
        <v>37</v>
      </c>
      <c r="B26">
        <v>29</v>
      </c>
    </row>
    <row r="27" spans="1:2" x14ac:dyDescent="0.25">
      <c r="A27" t="s">
        <v>24</v>
      </c>
      <c r="B27">
        <v>16</v>
      </c>
    </row>
    <row r="28" spans="1:2" x14ac:dyDescent="0.25">
      <c r="A28" t="s">
        <v>36</v>
      </c>
      <c r="B28">
        <v>28</v>
      </c>
    </row>
    <row r="29" spans="1:2" x14ac:dyDescent="0.25">
      <c r="A29" t="s">
        <v>56</v>
      </c>
      <c r="B29">
        <v>19</v>
      </c>
    </row>
    <row r="30" spans="1:2" x14ac:dyDescent="0.25">
      <c r="A30" t="s">
        <v>61</v>
      </c>
      <c r="B30">
        <v>31</v>
      </c>
    </row>
    <row r="31" spans="1:2" x14ac:dyDescent="0.25">
      <c r="A31" t="s">
        <v>26</v>
      </c>
      <c r="B31">
        <v>18</v>
      </c>
    </row>
    <row r="32" spans="1:2" x14ac:dyDescent="0.25">
      <c r="A32" t="s">
        <v>38</v>
      </c>
      <c r="B32">
        <v>30</v>
      </c>
    </row>
    <row r="33" spans="1:2" x14ac:dyDescent="0.25">
      <c r="A33" t="s">
        <v>57</v>
      </c>
      <c r="B33">
        <v>21</v>
      </c>
    </row>
    <row r="34" spans="1:2" x14ac:dyDescent="0.25">
      <c r="A34" t="s">
        <v>62</v>
      </c>
      <c r="B34">
        <v>33</v>
      </c>
    </row>
    <row r="35" spans="1:2" x14ac:dyDescent="0.25">
      <c r="A35" t="s">
        <v>28</v>
      </c>
      <c r="B35">
        <v>20</v>
      </c>
    </row>
    <row r="36" spans="1:2" x14ac:dyDescent="0.25">
      <c r="A36" t="s">
        <v>40</v>
      </c>
      <c r="B36">
        <v>32</v>
      </c>
    </row>
    <row r="37" spans="1:2" x14ac:dyDescent="0.25">
      <c r="A37" t="s">
        <v>27</v>
      </c>
      <c r="B37">
        <v>19</v>
      </c>
    </row>
    <row r="38" spans="1:2" x14ac:dyDescent="0.25">
      <c r="A38" t="s">
        <v>39</v>
      </c>
      <c r="B38">
        <v>31</v>
      </c>
    </row>
    <row r="39" spans="1:2" x14ac:dyDescent="0.25">
      <c r="A39" s="4" t="s">
        <v>93</v>
      </c>
      <c r="B39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ECC4-B977-4240-8FB3-5A7350F787CA}">
  <sheetPr codeName="Sheet7"/>
  <dimension ref="A1:A28"/>
  <sheetViews>
    <sheetView workbookViewId="0">
      <selection activeCell="A29" sqref="A29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54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56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59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61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s="4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48CA-2527-41ED-938C-A9CA1571C0B5}">
  <sheetPr codeName="Sheet10"/>
  <dimension ref="A2:P33"/>
  <sheetViews>
    <sheetView tabSelected="1" workbookViewId="0">
      <selection activeCell="C17" sqref="C17"/>
    </sheetView>
  </sheetViews>
  <sheetFormatPr defaultRowHeight="15" x14ac:dyDescent="0.25"/>
  <sheetData>
    <row r="2" spans="1:7" x14ac:dyDescent="0.25">
      <c r="A2" t="s">
        <v>102</v>
      </c>
      <c r="B2" t="s">
        <v>91</v>
      </c>
      <c r="C2" t="s">
        <v>92</v>
      </c>
      <c r="D2" t="s">
        <v>103</v>
      </c>
      <c r="E2" t="s">
        <v>66</v>
      </c>
    </row>
    <row r="3" spans="1:7" x14ac:dyDescent="0.25">
      <c r="A3" t="s">
        <v>33</v>
      </c>
      <c r="B3" t="s">
        <v>112</v>
      </c>
      <c r="C3">
        <v>124</v>
      </c>
      <c r="D3">
        <v>0</v>
      </c>
      <c r="E3" t="s">
        <v>0</v>
      </c>
    </row>
    <row r="5" spans="1:7" x14ac:dyDescent="0.25">
      <c r="A5" t="s">
        <v>104</v>
      </c>
    </row>
    <row r="6" spans="1:7" x14ac:dyDescent="0.25">
      <c r="A6" s="23" t="str">
        <f>A3&amp;","&amp;B3&amp;","&amp;C3&amp;","&amp;D3&amp;","&amp;E3</f>
        <v>C4,q,124,0,dum</v>
      </c>
      <c r="B6" s="23"/>
      <c r="C6" s="23"/>
      <c r="D6" s="23"/>
      <c r="E6" s="23"/>
    </row>
    <row r="7" spans="1:7" s="17" customFormat="1" ht="11.25" x14ac:dyDescent="0.2">
      <c r="A7" s="17" t="s">
        <v>105</v>
      </c>
      <c r="B7" s="17" t="s">
        <v>106</v>
      </c>
      <c r="C7" s="17" t="s">
        <v>107</v>
      </c>
    </row>
    <row r="8" spans="1:7" x14ac:dyDescent="0.25">
      <c r="A8">
        <f>IF(ISERROR(FIND(",,",$A$6)),1,0)</f>
        <v>1</v>
      </c>
      <c r="B8">
        <f>IF(LEFT($A$6,1)=",",0,1)</f>
        <v>1</v>
      </c>
      <c r="C8">
        <f>IF(RIGHT($A$6,1)=",",0,1)</f>
        <v>1</v>
      </c>
      <c r="D8" t="str">
        <f>IF(SUM(A8:C8)=3,"Good","Bad")</f>
        <v>Good</v>
      </c>
    </row>
    <row r="10" spans="1:7" ht="18.75" x14ac:dyDescent="0.3">
      <c r="A10" s="22" t="str">
        <f>IF($D$8="Good",$A$6,"invalid")</f>
        <v>C4,q,124,0,dum</v>
      </c>
      <c r="B10" s="22"/>
      <c r="C10" s="22"/>
      <c r="D10" s="22"/>
      <c r="E10" s="22"/>
      <c r="F10" s="22"/>
    </row>
    <row r="13" spans="1:7" x14ac:dyDescent="0.25">
      <c r="B13" t="e">
        <f>VLOOKUP(E4,Syllables!A1:B11,2)</f>
        <v>#N/A</v>
      </c>
    </row>
    <row r="14" spans="1:7" x14ac:dyDescent="0.25">
      <c r="A14" s="25" t="s">
        <v>122</v>
      </c>
      <c r="B14" s="25"/>
      <c r="C14" s="25"/>
    </row>
    <row r="15" spans="1:7" x14ac:dyDescent="0.25">
      <c r="A15" s="24" t="s">
        <v>117</v>
      </c>
      <c r="B15" s="24"/>
      <c r="C15">
        <f>VLOOKUP($E$3,Syllables!A1:F11,4)</f>
        <v>437</v>
      </c>
      <c r="E15" t="s">
        <v>123</v>
      </c>
      <c r="G15">
        <f>VLOOKUP($A$3,Table4[],2)</f>
        <v>25</v>
      </c>
    </row>
    <row r="16" spans="1:7" x14ac:dyDescent="0.25">
      <c r="A16" s="24" t="s">
        <v>118</v>
      </c>
      <c r="B16" s="24"/>
      <c r="C16">
        <f>ROUND(60000/$C$3,0)</f>
        <v>484</v>
      </c>
      <c r="E16" t="s">
        <v>124</v>
      </c>
      <c r="G16">
        <f>VLOOKUP($E$3,Syllables!A1:D11,2)</f>
        <v>11</v>
      </c>
    </row>
    <row r="17" spans="1:16" x14ac:dyDescent="0.25">
      <c r="A17" s="24" t="s">
        <v>120</v>
      </c>
      <c r="B17" s="24"/>
      <c r="C17">
        <f>VLOOKUP(B3,NoteValues,2)</f>
        <v>8</v>
      </c>
      <c r="E17" t="s">
        <v>125</v>
      </c>
      <c r="G17">
        <f>G15-G16</f>
        <v>14</v>
      </c>
    </row>
    <row r="18" spans="1:16" x14ac:dyDescent="0.25">
      <c r="A18" s="24" t="s">
        <v>119</v>
      </c>
      <c r="B18" s="24"/>
      <c r="C18">
        <f>C16/8*C17</f>
        <v>484</v>
      </c>
      <c r="E18" t="s">
        <v>126</v>
      </c>
      <c r="G18" s="20" t="str">
        <f>VLOOKUP(G17,'Pitch Pcts'!A1:B13,2)</f>
        <v>+50</v>
      </c>
    </row>
    <row r="19" spans="1:16" x14ac:dyDescent="0.25">
      <c r="A19" s="24" t="s">
        <v>121</v>
      </c>
      <c r="B19" s="24"/>
      <c r="C19" s="18">
        <f>ROUND((C15/C18)*100,0)</f>
        <v>90</v>
      </c>
    </row>
    <row r="21" spans="1:16" x14ac:dyDescent="0.25">
      <c r="A21" s="24" t="str">
        <f>"&lt;prosody "</f>
        <v xml:space="preserve">&lt;prosody </v>
      </c>
      <c r="B21" s="24"/>
      <c r="C21" s="24"/>
    </row>
    <row r="22" spans="1:16" x14ac:dyDescent="0.25">
      <c r="A22" s="24" t="str">
        <f>"pitch="&amp;CHAR(34)</f>
        <v>pitch="</v>
      </c>
      <c r="B22" s="24"/>
      <c r="C22" s="24"/>
    </row>
    <row r="23" spans="1:16" x14ac:dyDescent="0.25">
      <c r="A23" s="24" t="str">
        <f>"%"&amp;CHAR(34)&amp;" rate="&amp;CHAR(34)</f>
        <v>%" rate="</v>
      </c>
      <c r="B23" s="24"/>
      <c r="C23" s="24"/>
    </row>
    <row r="24" spans="1:16" x14ac:dyDescent="0.25">
      <c r="A24" s="24" t="str">
        <f>"%"&amp;CHAR(34)&amp;"&gt;"</f>
        <v>%"&gt;</v>
      </c>
      <c r="B24" s="24"/>
      <c r="C24" s="24"/>
    </row>
    <row r="25" spans="1:16" x14ac:dyDescent="0.25">
      <c r="A25" t="s">
        <v>127</v>
      </c>
    </row>
    <row r="26" spans="1:16" x14ac:dyDescent="0.25">
      <c r="A26" s="24" t="str">
        <f>" &lt;/say-as&gt;&lt;/prosody&gt;"</f>
        <v xml:space="preserve"> &lt;/say-as&gt;&lt;/prosody&gt;</v>
      </c>
      <c r="B26" s="24"/>
      <c r="C26" s="24"/>
    </row>
    <row r="28" spans="1:16" x14ac:dyDescent="0.25">
      <c r="A28" t="s">
        <v>104</v>
      </c>
    </row>
    <row r="29" spans="1:16" x14ac:dyDescent="0.25">
      <c r="A29" s="23" t="str">
        <f>A21&amp;A22&amp;G18&amp;A23&amp;C19&amp;A24&amp;A25&amp;$E$3&amp;A26</f>
        <v>&lt;prosody pitch="+50%" rate="90%"&gt;&lt;say-as interpret-as="interjection"&gt;dum &lt;/say-as&gt;&lt;/prosody&gt;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6" x14ac:dyDescent="0.25">
      <c r="A30" s="17" t="s">
        <v>128</v>
      </c>
      <c r="B30" s="17" t="s">
        <v>129</v>
      </c>
      <c r="C30" s="17" t="s">
        <v>130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x14ac:dyDescent="0.25">
      <c r="A31">
        <f>IF(C19&gt;20,1,0)</f>
        <v>1</v>
      </c>
      <c r="B31">
        <f>IF(AND(G17&gt;=0,G17&lt;=12),1,0)</f>
        <v>0</v>
      </c>
      <c r="C31">
        <f>IF($E$3&lt;&gt;"",1,0)</f>
        <v>1</v>
      </c>
      <c r="D31" t="str">
        <f>IF(SUM(A31:C31)=3,"Good","Bad")</f>
        <v>Bad</v>
      </c>
    </row>
    <row r="33" spans="1:14" ht="18.75" x14ac:dyDescent="0.3">
      <c r="A33" s="22" t="str">
        <f>IF(D31="Good",$A$29,"invalid")</f>
        <v>invalid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</sheetData>
  <mergeCells count="15">
    <mergeCell ref="A18:B18"/>
    <mergeCell ref="A14:C14"/>
    <mergeCell ref="A6:E6"/>
    <mergeCell ref="A10:F10"/>
    <mergeCell ref="A15:B15"/>
    <mergeCell ref="A16:B16"/>
    <mergeCell ref="A17:B17"/>
    <mergeCell ref="A33:N33"/>
    <mergeCell ref="A29:K29"/>
    <mergeCell ref="A19:B19"/>
    <mergeCell ref="A21:C21"/>
    <mergeCell ref="A22:C22"/>
    <mergeCell ref="A23:C23"/>
    <mergeCell ref="A24:C24"/>
    <mergeCell ref="A26:C26"/>
  </mergeCells>
  <conditionalFormatting sqref="A6:E6 F30:P30 A29">
    <cfRule type="expression" dxfId="6" priority="8">
      <formula>"D8=""Good"""</formula>
    </cfRule>
    <cfRule type="expression" dxfId="5" priority="9">
      <formula>"D8&lt;&gt;""Good"""</formula>
    </cfRule>
    <cfRule type="expression" dxfId="4" priority="10">
      <formula>"D8=""Good"""</formula>
    </cfRule>
  </conditionalFormatting>
  <conditionalFormatting sqref="G17">
    <cfRule type="cellIs" dxfId="3" priority="6" operator="greaterThan">
      <formula>12</formula>
    </cfRule>
    <cfRule type="cellIs" dxfId="2" priority="7" operator="lessThan">
      <formula>0</formula>
    </cfRule>
  </conditionalFormatting>
  <conditionalFormatting sqref="A10:F10">
    <cfRule type="cellIs" dxfId="1" priority="5" operator="equal">
      <formula>"invalid"</formula>
    </cfRule>
  </conditionalFormatting>
  <conditionalFormatting sqref="A33">
    <cfRule type="cellIs" dxfId="0" priority="1" operator="equal">
      <formula>"invalid"</formula>
    </cfRule>
  </conditionalFormatting>
  <dataValidations count="1">
    <dataValidation type="list" allowBlank="1" showInputMessage="1" showErrorMessage="1" sqref="A3" xr:uid="{9A808B0A-9A22-4368-9F6A-2ACDF90477F6}">
      <formula1>NoteNamesNew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B354AE-F7CD-46E2-84AB-36AEDB1256DD}">
          <x14:formula1>
            <xm:f>Values!$D$1:$D$9</xm:f>
          </x14:formula1>
          <xm:sqref>B3</xm:sqref>
        </x14:dataValidation>
        <x14:dataValidation type="list" allowBlank="1" showInputMessage="1" showErrorMessage="1" xr:uid="{7099303C-FCEE-4DB9-8208-349B2DF7B434}">
          <x14:formula1>
            <xm:f>Syllables!$A$1:$A$11</xm:f>
          </x14:formula1>
          <xm:sqref>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6573-37DF-490E-AA75-AD2D6595680E}">
  <sheetPr codeName="Sheet11"/>
  <dimension ref="A1:D9"/>
  <sheetViews>
    <sheetView workbookViewId="0">
      <selection sqref="A1:B9"/>
    </sheetView>
  </sheetViews>
  <sheetFormatPr defaultRowHeight="15" x14ac:dyDescent="0.25"/>
  <sheetData>
    <row r="1" spans="1:4" x14ac:dyDescent="0.25">
      <c r="A1" t="s">
        <v>110</v>
      </c>
      <c r="B1">
        <v>4</v>
      </c>
      <c r="D1" t="s">
        <v>108</v>
      </c>
    </row>
    <row r="2" spans="1:4" x14ac:dyDescent="0.25">
      <c r="A2" t="s">
        <v>111</v>
      </c>
      <c r="B2">
        <v>6</v>
      </c>
      <c r="D2" t="s">
        <v>109</v>
      </c>
    </row>
    <row r="3" spans="1:4" x14ac:dyDescent="0.25">
      <c r="A3" t="s">
        <v>114</v>
      </c>
      <c r="B3">
        <v>16</v>
      </c>
      <c r="D3" t="s">
        <v>110</v>
      </c>
    </row>
    <row r="4" spans="1:4" x14ac:dyDescent="0.25">
      <c r="A4" t="s">
        <v>115</v>
      </c>
      <c r="B4">
        <v>24</v>
      </c>
      <c r="D4" t="s">
        <v>111</v>
      </c>
    </row>
    <row r="5" spans="1:4" x14ac:dyDescent="0.25">
      <c r="A5" t="s">
        <v>112</v>
      </c>
      <c r="B5">
        <v>8</v>
      </c>
      <c r="D5" t="s">
        <v>112</v>
      </c>
    </row>
    <row r="6" spans="1:4" x14ac:dyDescent="0.25">
      <c r="A6" t="s">
        <v>113</v>
      </c>
      <c r="B6">
        <v>12</v>
      </c>
      <c r="D6" t="s">
        <v>113</v>
      </c>
    </row>
    <row r="7" spans="1:4" x14ac:dyDescent="0.25">
      <c r="A7" t="s">
        <v>108</v>
      </c>
      <c r="B7">
        <v>2</v>
      </c>
      <c r="D7" t="s">
        <v>114</v>
      </c>
    </row>
    <row r="8" spans="1:4" x14ac:dyDescent="0.25">
      <c r="A8" t="s">
        <v>109</v>
      </c>
      <c r="B8">
        <v>3</v>
      </c>
      <c r="D8" t="s">
        <v>115</v>
      </c>
    </row>
    <row r="9" spans="1:4" x14ac:dyDescent="0.25">
      <c r="A9" t="s">
        <v>116</v>
      </c>
      <c r="B9">
        <v>32</v>
      </c>
      <c r="D9" t="s">
        <v>116</v>
      </c>
    </row>
  </sheetData>
  <sortState ref="A1:B9">
    <sortCondition ref="A1:A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1 m 4 8 T P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1 m 4 8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u P E w o i k e 4 D g A A A B E A A A A T A B w A R m 9 y b X V s Y X M v U 2 V j d G l v b j E u b S C i G A A o o B Q A A A A A A A A A A A A A A A A A A A A A A A A A A A A r T k 0 u y c z P U w i G 0 I b W A F B L A Q I t A B Q A A g A I A N Z u P E z 1 W S Q + p w A A A P g A A A A S A A A A A A A A A A A A A A A A A A A A A A B D b 2 5 m a W c v U G F j a 2 F n Z S 5 4 b W x Q S w E C L Q A U A A I A C A D W b j x M D 8 r p q 6 Q A A A D p A A A A E w A A A A A A A A A A A A A A A A D z A A A A W 0 N v b n R l b n R f V H l w Z X N d L n h t b F B L A Q I t A B Q A A g A I A N Z u P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m q z g 8 G v / R o e k K A U v i R o g A A A A A A I A A A A A A B B m A A A A A Q A A I A A A A B Z T S r e L 8 i O b W 4 1 a D X d l Q q u l u p a J W 8 f x u u h q P F 6 Q C g 8 n A A A A A A 6 A A A A A A g A A I A A A A B D Z h m n e d n l g U p 9 L B e m c E s F U J x g n C 4 m Y M q D k U m F t O m H Y U A A A A G g c G s O 5 4 x f G u u X N 1 6 A B X T y 4 B M U i J L O B 7 H s L O j k a 4 H J j Z n Q S o t 9 T A 3 q W / o z f h H T K p m R T o a A a F B O P V b u 3 x F x 8 A q P S z h n + U + p Q Q I Q 2 U s + 8 b w V N Q A A A A D h U v S k 1 6 h U 7 j n + A 3 B e d 8 W V k O t m 7 5 W P S D 5 P u C T O d h 2 7 A q A 7 o N K v y c Z S v f x O H T n x E k + k b c l n M 4 W l r O w a U P 8 Z z / Q 8 = < / D a t a M a s h u p > 
</file>

<file path=customXml/itemProps1.xml><?xml version="1.0" encoding="utf-8"?>
<ds:datastoreItem xmlns:ds="http://schemas.openxmlformats.org/officeDocument/2006/customXml" ds:itemID="{7CA2B291-7D9E-434A-BF68-0E021A4B73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Main</vt:lpstr>
      <vt:lpstr>Sheet3</vt:lpstr>
      <vt:lpstr>Syllables</vt:lpstr>
      <vt:lpstr>Pitch Pcts</vt:lpstr>
      <vt:lpstr>Pitch Table</vt:lpstr>
      <vt:lpstr>Note Names</vt:lpstr>
      <vt:lpstr>ConvertNote</vt:lpstr>
      <vt:lpstr>Values</vt:lpstr>
      <vt:lpstr>BaseMS</vt:lpstr>
      <vt:lpstr>LowPitch</vt:lpstr>
      <vt:lpstr>MSBASE</vt:lpstr>
      <vt:lpstr>NoteNames</vt:lpstr>
      <vt:lpstr>NoteNamesNew</vt:lpstr>
      <vt:lpstr>NoteValues</vt:lpstr>
      <vt:lpstr>Pitches</vt:lpstr>
      <vt:lpstr>PithcesNew</vt:lpstr>
      <vt:lpstr>Tempo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Owen</dc:creator>
  <cp:lastModifiedBy>Jim Owen</cp:lastModifiedBy>
  <dcterms:created xsi:type="dcterms:W3CDTF">2018-01-20T07:27:00Z</dcterms:created>
  <dcterms:modified xsi:type="dcterms:W3CDTF">2018-03-01T18:38:05Z</dcterms:modified>
</cp:coreProperties>
</file>