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ni/dev/foodsight-frontend/"/>
    </mc:Choice>
  </mc:AlternateContent>
  <xr:revisionPtr revIDLastSave="0" documentId="13_ncr:1_{BC32C462-7D01-F04E-AAA2-E97CCB24035F}" xr6:coauthVersionLast="47" xr6:coauthVersionMax="47" xr10:uidLastSave="{00000000-0000-0000-0000-000000000000}"/>
  <bookViews>
    <workbookView xWindow="0" yWindow="500" windowWidth="24460" windowHeight="20700" xr2:uid="{9BDC3E8B-C3F2-6C45-82D7-C85516B5E852}"/>
  </bookViews>
  <sheets>
    <sheet name="Dashboard" sheetId="1" r:id="rId1"/>
    <sheet name="Rechnung" sheetId="2" r:id="rId2"/>
    <sheet name="Pseudo-Co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3" i="3" l="1"/>
  <c r="N122" i="3"/>
  <c r="N123" i="3"/>
  <c r="C70" i="3"/>
  <c r="C33" i="3"/>
  <c r="R129" i="3"/>
  <c r="N113" i="3"/>
  <c r="L8" i="3"/>
  <c r="K7" i="3"/>
  <c r="K8" i="3"/>
  <c r="M8" i="3" s="1"/>
  <c r="K9" i="3"/>
  <c r="K6" i="3"/>
  <c r="H119" i="3"/>
  <c r="G119" i="3"/>
  <c r="F119" i="3"/>
  <c r="E119" i="3"/>
  <c r="H118" i="3"/>
  <c r="G118" i="3"/>
  <c r="F118" i="3"/>
  <c r="C118" i="3"/>
  <c r="I117" i="3"/>
  <c r="H117" i="3"/>
  <c r="G117" i="3"/>
  <c r="C117" i="3"/>
  <c r="I116" i="3"/>
  <c r="H116" i="3"/>
  <c r="E116" i="3"/>
  <c r="D116" i="3"/>
  <c r="C116" i="3"/>
  <c r="I99" i="3"/>
  <c r="I119" i="3" s="1"/>
  <c r="H99" i="3"/>
  <c r="G99" i="3"/>
  <c r="F99" i="3"/>
  <c r="E99" i="3"/>
  <c r="D99" i="3"/>
  <c r="C99" i="3"/>
  <c r="C119" i="3" s="1"/>
  <c r="I98" i="3"/>
  <c r="H98" i="3"/>
  <c r="G98" i="3"/>
  <c r="F98" i="3"/>
  <c r="E98" i="3"/>
  <c r="E118" i="3" s="1"/>
  <c r="D98" i="3"/>
  <c r="D118" i="3" s="1"/>
  <c r="C98" i="3"/>
  <c r="I97" i="3"/>
  <c r="H97" i="3"/>
  <c r="G97" i="3"/>
  <c r="F97" i="3"/>
  <c r="E97" i="3"/>
  <c r="E117" i="3" s="1"/>
  <c r="D97" i="3"/>
  <c r="C97" i="3"/>
  <c r="I96" i="3"/>
  <c r="H96" i="3"/>
  <c r="G96" i="3"/>
  <c r="G116" i="3" s="1"/>
  <c r="F96" i="3"/>
  <c r="E96" i="3"/>
  <c r="D96" i="3"/>
  <c r="C96" i="3"/>
  <c r="C52" i="3"/>
  <c r="D52" i="3"/>
  <c r="H52" i="3"/>
  <c r="I52" i="3"/>
  <c r="G53" i="3"/>
  <c r="H53" i="3"/>
  <c r="I53" i="3"/>
  <c r="F54" i="3"/>
  <c r="G54" i="3"/>
  <c r="D51" i="3"/>
  <c r="G51" i="3"/>
  <c r="H51" i="3"/>
  <c r="G35" i="3"/>
  <c r="F35" i="3"/>
  <c r="I27" i="3"/>
  <c r="I54" i="3" s="1"/>
  <c r="H27" i="3"/>
  <c r="H54" i="3" s="1"/>
  <c r="G27" i="3"/>
  <c r="F27" i="3"/>
  <c r="E27" i="3"/>
  <c r="E54" i="3" s="1"/>
  <c r="D27" i="3"/>
  <c r="D54" i="3" s="1"/>
  <c r="C27" i="3"/>
  <c r="C36" i="3" s="1"/>
  <c r="I26" i="3"/>
  <c r="H26" i="3"/>
  <c r="H35" i="3" s="1"/>
  <c r="G26" i="3"/>
  <c r="F26" i="3"/>
  <c r="F53" i="3" s="1"/>
  <c r="E26" i="3"/>
  <c r="E53" i="3" s="1"/>
  <c r="D26" i="3"/>
  <c r="D53" i="3" s="1"/>
  <c r="C26" i="3"/>
  <c r="C53" i="3" s="1"/>
  <c r="J53" i="3" s="1"/>
  <c r="I25" i="3"/>
  <c r="H25" i="3"/>
  <c r="G25" i="3"/>
  <c r="G52" i="3" s="1"/>
  <c r="F25" i="3"/>
  <c r="F34" i="3" s="1"/>
  <c r="E25" i="3"/>
  <c r="E52" i="3" s="1"/>
  <c r="D25" i="3"/>
  <c r="D34" i="3" s="1"/>
  <c r="C25" i="3"/>
  <c r="C34" i="3" s="1"/>
  <c r="I24" i="3"/>
  <c r="I33" i="3" s="1"/>
  <c r="H24" i="3"/>
  <c r="H33" i="3" s="1"/>
  <c r="G24" i="3"/>
  <c r="G33" i="3" s="1"/>
  <c r="F24" i="3"/>
  <c r="F51" i="3" s="1"/>
  <c r="E24" i="3"/>
  <c r="E51" i="3" s="1"/>
  <c r="D24" i="3"/>
  <c r="C24" i="3"/>
  <c r="F44" i="1"/>
  <c r="M24" i="1"/>
  <c r="I12" i="2"/>
  <c r="M18" i="1"/>
  <c r="C12" i="2"/>
  <c r="E50" i="2"/>
  <c r="F50" i="2" s="1"/>
  <c r="E51" i="2"/>
  <c r="F51" i="2" s="1"/>
  <c r="E52" i="2"/>
  <c r="F52" i="2" s="1"/>
  <c r="E49" i="2"/>
  <c r="F49" i="2" s="1"/>
  <c r="D6" i="2"/>
  <c r="D7" i="2"/>
  <c r="D17" i="2" s="1"/>
  <c r="D8" i="2"/>
  <c r="D9" i="2"/>
  <c r="D10" i="2"/>
  <c r="D20" i="2" s="1"/>
  <c r="D11" i="2"/>
  <c r="D5" i="2"/>
  <c r="D15" i="2" s="1"/>
  <c r="H6" i="2"/>
  <c r="H7" i="2"/>
  <c r="H8" i="2"/>
  <c r="H9" i="2"/>
  <c r="H10" i="2"/>
  <c r="H11" i="2"/>
  <c r="H5" i="2"/>
  <c r="G12" i="2"/>
  <c r="C44" i="2"/>
  <c r="D44" i="2" s="1"/>
  <c r="E44" i="2" s="1"/>
  <c r="F44" i="2" s="1"/>
  <c r="C28" i="2"/>
  <c r="E11" i="2"/>
  <c r="E10" i="2"/>
  <c r="E9" i="2"/>
  <c r="E8" i="2"/>
  <c r="D18" i="2"/>
  <c r="E7" i="2"/>
  <c r="E6" i="2"/>
  <c r="E5" i="2"/>
  <c r="H63" i="3" l="1"/>
  <c r="D63" i="3"/>
  <c r="E63" i="3"/>
  <c r="C63" i="3"/>
  <c r="F63" i="3"/>
  <c r="G63" i="3"/>
  <c r="I63" i="3"/>
  <c r="J119" i="3"/>
  <c r="M119" i="3" s="1"/>
  <c r="K119" i="3"/>
  <c r="N119" i="3" s="1"/>
  <c r="M9" i="3"/>
  <c r="J118" i="3"/>
  <c r="M118" i="3" s="1"/>
  <c r="K118" i="3"/>
  <c r="N118" i="3" s="1"/>
  <c r="E35" i="3"/>
  <c r="C51" i="3"/>
  <c r="J51" i="3" s="1"/>
  <c r="K10" i="3"/>
  <c r="L10" i="3" s="1"/>
  <c r="F52" i="3"/>
  <c r="J52" i="3" s="1"/>
  <c r="I51" i="3"/>
  <c r="C54" i="3"/>
  <c r="J54" i="3" s="1"/>
  <c r="F117" i="3"/>
  <c r="D119" i="3"/>
  <c r="L6" i="3"/>
  <c r="M6" i="3" s="1"/>
  <c r="L9" i="3"/>
  <c r="F116" i="3"/>
  <c r="L7" i="3"/>
  <c r="M7" i="3" s="1"/>
  <c r="D117" i="3"/>
  <c r="I118" i="3"/>
  <c r="E34" i="3"/>
  <c r="I35" i="3"/>
  <c r="D36" i="3"/>
  <c r="E36" i="3"/>
  <c r="I34" i="3"/>
  <c r="G34" i="3"/>
  <c r="D33" i="3"/>
  <c r="J33" i="3" s="1"/>
  <c r="H34" i="3"/>
  <c r="F36" i="3"/>
  <c r="G36" i="3"/>
  <c r="E33" i="3"/>
  <c r="C35" i="3"/>
  <c r="H36" i="3"/>
  <c r="F33" i="3"/>
  <c r="D35" i="3"/>
  <c r="I36" i="3"/>
  <c r="H12" i="2"/>
  <c r="D19" i="2"/>
  <c r="D21" i="2"/>
  <c r="D16" i="2"/>
  <c r="H62" i="3" l="1"/>
  <c r="I62" i="3"/>
  <c r="D62" i="3"/>
  <c r="E62" i="3"/>
  <c r="G62" i="3"/>
  <c r="C62" i="3"/>
  <c r="F62" i="3"/>
  <c r="J116" i="3"/>
  <c r="M116" i="3" s="1"/>
  <c r="K116" i="3"/>
  <c r="N116" i="3" s="1"/>
  <c r="N120" i="3" s="1"/>
  <c r="N129" i="3" s="1"/>
  <c r="J36" i="3"/>
  <c r="G45" i="3" s="1"/>
  <c r="G73" i="3" s="1"/>
  <c r="G81" i="3" s="1"/>
  <c r="G108" i="3" s="1"/>
  <c r="D61" i="3"/>
  <c r="E61" i="3"/>
  <c r="H61" i="3"/>
  <c r="I61" i="3"/>
  <c r="F61" i="3"/>
  <c r="G61" i="3"/>
  <c r="C61" i="3"/>
  <c r="M10" i="3"/>
  <c r="F64" i="3"/>
  <c r="G64" i="3"/>
  <c r="H64" i="3"/>
  <c r="I64" i="3"/>
  <c r="C64" i="3"/>
  <c r="D64" i="3"/>
  <c r="E64" i="3"/>
  <c r="J34" i="3"/>
  <c r="G43" i="3" s="1"/>
  <c r="G71" i="3" s="1"/>
  <c r="G79" i="3" s="1"/>
  <c r="G106" i="3" s="1"/>
  <c r="J117" i="3"/>
  <c r="M117" i="3" s="1"/>
  <c r="K117" i="3"/>
  <c r="N117" i="3" s="1"/>
  <c r="D42" i="3"/>
  <c r="E42" i="3"/>
  <c r="E70" i="3" s="1"/>
  <c r="E78" i="3" s="1"/>
  <c r="E105" i="3" s="1"/>
  <c r="F42" i="3"/>
  <c r="G42" i="3"/>
  <c r="H42" i="3"/>
  <c r="H70" i="3" s="1"/>
  <c r="H78" i="3" s="1"/>
  <c r="H105" i="3" s="1"/>
  <c r="C42" i="3"/>
  <c r="C78" i="3" s="1"/>
  <c r="C105" i="3" s="1"/>
  <c r="I42" i="3"/>
  <c r="I70" i="3" s="1"/>
  <c r="I78" i="3" s="1"/>
  <c r="I105" i="3" s="1"/>
  <c r="D45" i="3"/>
  <c r="D73" i="3" s="1"/>
  <c r="D81" i="3" s="1"/>
  <c r="D108" i="3" s="1"/>
  <c r="E45" i="3"/>
  <c r="E73" i="3" s="1"/>
  <c r="E81" i="3" s="1"/>
  <c r="E108" i="3" s="1"/>
  <c r="I43" i="3"/>
  <c r="I71" i="3" s="1"/>
  <c r="I79" i="3" s="1"/>
  <c r="I106" i="3" s="1"/>
  <c r="J35" i="3"/>
  <c r="D23" i="2"/>
  <c r="F9" i="2" s="1"/>
  <c r="C39" i="2" s="1"/>
  <c r="F7" i="2"/>
  <c r="F17" i="2" s="1"/>
  <c r="F8" i="2"/>
  <c r="C38" i="2" s="1"/>
  <c r="F11" i="2"/>
  <c r="C41" i="2" s="1"/>
  <c r="F5" i="2"/>
  <c r="F15" i="2" s="1"/>
  <c r="I45" i="3" l="1"/>
  <c r="I73" i="3" s="1"/>
  <c r="I81" i="3" s="1"/>
  <c r="I108" i="3" s="1"/>
  <c r="M120" i="3"/>
  <c r="D43" i="3"/>
  <c r="D71" i="3" s="1"/>
  <c r="D79" i="3" s="1"/>
  <c r="D106" i="3" s="1"/>
  <c r="F45" i="3"/>
  <c r="F73" i="3" s="1"/>
  <c r="F81" i="3" s="1"/>
  <c r="F108" i="3" s="1"/>
  <c r="C45" i="3"/>
  <c r="C73" i="3" s="1"/>
  <c r="C81" i="3" s="1"/>
  <c r="C108" i="3" s="1"/>
  <c r="E43" i="3"/>
  <c r="E71" i="3" s="1"/>
  <c r="E79" i="3" s="1"/>
  <c r="E106" i="3" s="1"/>
  <c r="C88" i="3"/>
  <c r="F43" i="3"/>
  <c r="F71" i="3" s="1"/>
  <c r="F79" i="3" s="1"/>
  <c r="F106" i="3" s="1"/>
  <c r="D90" i="3"/>
  <c r="C43" i="3"/>
  <c r="C71" i="3" s="1"/>
  <c r="C79" i="3" s="1"/>
  <c r="C106" i="3" s="1"/>
  <c r="I87" i="3"/>
  <c r="D88" i="3"/>
  <c r="O129" i="3"/>
  <c r="H43" i="3"/>
  <c r="H71" i="3" s="1"/>
  <c r="H79" i="3" s="1"/>
  <c r="H106" i="3" s="1"/>
  <c r="C87" i="3"/>
  <c r="G70" i="3"/>
  <c r="G78" i="3" s="1"/>
  <c r="G105" i="3" s="1"/>
  <c r="H87" i="3"/>
  <c r="I88" i="3"/>
  <c r="E90" i="3"/>
  <c r="G88" i="3"/>
  <c r="F70" i="3"/>
  <c r="F78" i="3" s="1"/>
  <c r="F105" i="3" s="1"/>
  <c r="H45" i="3"/>
  <c r="H73" i="3" s="1"/>
  <c r="H81" i="3" s="1"/>
  <c r="H108" i="3" s="1"/>
  <c r="H90" i="3"/>
  <c r="D70" i="3"/>
  <c r="D78" i="3" s="1"/>
  <c r="D105" i="3" s="1"/>
  <c r="G90" i="3"/>
  <c r="E87" i="3"/>
  <c r="D44" i="3"/>
  <c r="D72" i="3" s="1"/>
  <c r="D80" i="3" s="1"/>
  <c r="E44" i="3"/>
  <c r="E72" i="3" s="1"/>
  <c r="E80" i="3" s="1"/>
  <c r="F44" i="3"/>
  <c r="F72" i="3" s="1"/>
  <c r="F80" i="3" s="1"/>
  <c r="G44" i="3"/>
  <c r="G72" i="3" s="1"/>
  <c r="G80" i="3" s="1"/>
  <c r="H44" i="3"/>
  <c r="H72" i="3" s="1"/>
  <c r="H80" i="3" s="1"/>
  <c r="I44" i="3"/>
  <c r="I72" i="3" s="1"/>
  <c r="I80" i="3" s="1"/>
  <c r="C44" i="3"/>
  <c r="C72" i="3" s="1"/>
  <c r="C80" i="3" s="1"/>
  <c r="F10" i="2"/>
  <c r="C40" i="2" s="1"/>
  <c r="F6" i="2"/>
  <c r="F16" i="2" s="1"/>
  <c r="C37" i="2"/>
  <c r="C35" i="2"/>
  <c r="F18" i="2"/>
  <c r="F19" i="2"/>
  <c r="F21" i="2"/>
  <c r="F88" i="3" l="1"/>
  <c r="O122" i="3"/>
  <c r="O128" i="3" s="1"/>
  <c r="I107" i="3"/>
  <c r="I89" i="3"/>
  <c r="E88" i="3"/>
  <c r="H107" i="3"/>
  <c r="H89" i="3"/>
  <c r="C90" i="3"/>
  <c r="F90" i="3"/>
  <c r="D107" i="3"/>
  <c r="D89" i="3"/>
  <c r="H88" i="3"/>
  <c r="G87" i="3"/>
  <c r="C107" i="3"/>
  <c r="C89" i="3"/>
  <c r="F87" i="3"/>
  <c r="I90" i="3"/>
  <c r="G107" i="3"/>
  <c r="G89" i="3"/>
  <c r="F107" i="3"/>
  <c r="F89" i="3"/>
  <c r="E107" i="3"/>
  <c r="E89" i="3"/>
  <c r="D87" i="3"/>
  <c r="F20" i="2"/>
  <c r="C36" i="2"/>
  <c r="C45" i="2" s="1"/>
  <c r="M8" i="1" s="1"/>
  <c r="F23" i="2"/>
  <c r="C29" i="2" s="1"/>
  <c r="N125" i="3" l="1"/>
  <c r="N131" i="3" s="1"/>
  <c r="N128" i="3"/>
  <c r="C32" i="2"/>
  <c r="C33" i="2" s="1"/>
  <c r="G8" i="1" l="1"/>
</calcChain>
</file>

<file path=xl/sharedStrings.xml><?xml version="1.0" encoding="utf-8"?>
<sst xmlns="http://schemas.openxmlformats.org/spreadsheetml/2006/main" count="280" uniqueCount="113">
  <si>
    <t>Mo</t>
  </si>
  <si>
    <t>Di</t>
  </si>
  <si>
    <t>Mi</t>
  </si>
  <si>
    <t>Do</t>
  </si>
  <si>
    <t>Fr</t>
  </si>
  <si>
    <t>Sa</t>
  </si>
  <si>
    <t>So</t>
  </si>
  <si>
    <t>Referenz-Retoure</t>
  </si>
  <si>
    <t>Tage im Monat</t>
  </si>
  <si>
    <t>Optimierte Retoure</t>
  </si>
  <si>
    <t>Einsparung</t>
  </si>
  <si>
    <t>/Monat</t>
  </si>
  <si>
    <t>Verlust durch Ausverkäufe</t>
  </si>
  <si>
    <t>Bestellmenge anpassen</t>
  </si>
  <si>
    <t>Bestellmenge-Umsatz*(30/7)</t>
  </si>
  <si>
    <t>Prognose/Umsatz</t>
  </si>
  <si>
    <t>Minimum</t>
  </si>
  <si>
    <t>Referenz*30</t>
  </si>
  <si>
    <t>Verbleibende Retoure</t>
  </si>
  <si>
    <t>Eingesparte Retoure</t>
  </si>
  <si>
    <t>Bestellmenge-Umsatz aber nicht unter 0</t>
  </si>
  <si>
    <t>Summe</t>
  </si>
  <si>
    <t>Produkt: Gesamt</t>
  </si>
  <si>
    <t>Filliale: Lahntal</t>
  </si>
  <si>
    <t>EK / VK</t>
  </si>
  <si>
    <t>*Einkaufspreis</t>
  </si>
  <si>
    <t>Rohertrag / Monat</t>
  </si>
  <si>
    <t>*VK - EK</t>
  </si>
  <si>
    <t>Referenz-Bestellmenge</t>
  </si>
  <si>
    <t>Neue Bestellmenge</t>
  </si>
  <si>
    <t>Umsatz letzte Woche</t>
  </si>
  <si>
    <t>Prognose letzte Woche</t>
  </si>
  <si>
    <t>Prognose-Fehler</t>
  </si>
  <si>
    <t>Absoluter Fehler</t>
  </si>
  <si>
    <t>Monatsumsatz</t>
  </si>
  <si>
    <t>Monats-Retoure</t>
  </si>
  <si>
    <t>Tägl. Retoure</t>
  </si>
  <si>
    <t>Retouren-Quote</t>
  </si>
  <si>
    <t>Wochenumsatz</t>
  </si>
  <si>
    <t>Prognosequalität</t>
  </si>
  <si>
    <t>Bier</t>
  </si>
  <si>
    <t>Cappuchino</t>
  </si>
  <si>
    <t>Dessert</t>
  </si>
  <si>
    <t>Dinnerle</t>
  </si>
  <si>
    <t>…</t>
  </si>
  <si>
    <t>Letzte Woche</t>
  </si>
  <si>
    <t xml:space="preserve">Heute: </t>
  </si>
  <si>
    <t>Di, 17.12.2021</t>
  </si>
  <si>
    <t xml:space="preserve">1. </t>
  </si>
  <si>
    <t>STEP</t>
  </si>
  <si>
    <t>2.</t>
  </si>
  <si>
    <t>Forecast</t>
  </si>
  <si>
    <t>3.</t>
  </si>
  <si>
    <t>Differenz</t>
  </si>
  <si>
    <t>4.</t>
  </si>
  <si>
    <t>Optimale Verfügbarkeit: Forecast % anheben, sodass keine Differenz &lt; 0</t>
  </si>
  <si>
    <t>Gesamt</t>
  </si>
  <si>
    <t>5.</t>
  </si>
  <si>
    <t>Bestellung Maximal</t>
  </si>
  <si>
    <t>6.</t>
  </si>
  <si>
    <t>Bestellung Minimal</t>
  </si>
  <si>
    <t>Optimale Einsparung: Forecast % senken, sodass keine Differenz &gt; 0</t>
  </si>
  <si>
    <t>7.</t>
  </si>
  <si>
    <t>Jetzt wollen wir 5 Stufen angeben, dazu brauchen wir erst einen Range</t>
  </si>
  <si>
    <t>… und einen step</t>
  </si>
  <si>
    <t>8.</t>
  </si>
  <si>
    <t>Jetzt bauen wir 3 "Zwischensets" zu den beiden Maximalsets dazu: S, M, L</t>
  </si>
  <si>
    <t>Set S</t>
  </si>
  <si>
    <t>Set M</t>
  </si>
  <si>
    <t>Sel L</t>
  </si>
  <si>
    <t>9.</t>
  </si>
  <si>
    <t>Für Set in [XS, S, M, L, XL]:</t>
  </si>
  <si>
    <t>Set:=M</t>
  </si>
  <si>
    <t>Plus</t>
  </si>
  <si>
    <t>Minus</t>
  </si>
  <si>
    <t>Preis/Stück</t>
  </si>
  <si>
    <t>EK/VK</t>
  </si>
  <si>
    <t>Kosten Retoure</t>
  </si>
  <si>
    <t>Kosten Ausverkauf</t>
  </si>
  <si>
    <t>Vordaten</t>
  </si>
  <si>
    <t>Parameter</t>
  </si>
  <si>
    <t>Umsatz/Woche</t>
  </si>
  <si>
    <t>DB/Woche</t>
  </si>
  <si>
    <t>EK/Woche</t>
  </si>
  <si>
    <t>Ref-Retoure</t>
  </si>
  <si>
    <t>*als Umsatz</t>
  </si>
  <si>
    <t>als Kosten</t>
  </si>
  <si>
    <t>Ersparnis</t>
  </si>
  <si>
    <t>Verlust durch Ausverkauf</t>
  </si>
  <si>
    <t>Bilanz</t>
  </si>
  <si>
    <t>verbleibende Retourkosten</t>
  </si>
  <si>
    <t>verbleibender DB</t>
  </si>
  <si>
    <t>Donut-Daten:</t>
  </si>
  <si>
    <t>pro Woche</t>
  </si>
  <si>
    <t>pro Monat</t>
  </si>
  <si>
    <t xml:space="preserve">Gelifert werden </t>
  </si>
  <si>
    <t>- 5 Sets mit Name, Liste von Produkten, für jedes Produkt Liste mit 7 Vorhersagen</t>
  </si>
  <si>
    <t>- Für jedes Set Donut-Daten</t>
  </si>
  <si>
    <t>(- Für jedes Set Liste mit 7 aufsummierten Umsatzzahlen der Vorwoche)</t>
  </si>
  <si>
    <t>(- Für jedes Set Liste mit 7 aufsummierten Umsatzzahlen des Bestellvorschlags)</t>
  </si>
  <si>
    <t>- Datum "Heute"</t>
  </si>
  <si>
    <t>Größe: 2 bytes pro char</t>
  </si>
  <si>
    <t>Produktname: 20 char</t>
  </si>
  <si>
    <t>Tageszahl:: 2 char</t>
  </si>
  <si>
    <t>200 Zeilen pro Set = 40*200 = 8000 byte</t>
  </si>
  <si>
    <t>5 Sets &lt; 50 kByte</t>
  </si>
  <si>
    <t>Zeile = 20 + 7*2 &lt; 40 byte</t>
  </si>
  <si>
    <t>Davon die Hälfte führt zu einer Nachladezeit von &lt; 2 Sekunden</t>
  </si>
  <si>
    <t>4G bis zu 50 Mbit/s // 6250 kByte / sec</t>
  </si>
  <si>
    <t>3G bis zu 384 kBit/s // 48 kByte / sec</t>
  </si>
  <si>
    <t>Davon 20% / 1250 kByte/sec führt zu einer Nachladezeit von 1/25 Sekunde = 40 Milisekunden</t>
  </si>
  <si>
    <t>Dazu kommt bei einem vollen Laden der Seite ein payload von nochmal &lt; 50 kByte - wodurch sich die Zeiten oben verdoppeln</t>
  </si>
  <si>
    <t>*Referenz-Retoure: Der durchschnittliche Warenwert der Produkte, die pro Tag nicht verkauft werden und daher "weg" müssen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</si>
</sst>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\ [$€-407]_-;\-* #,##0\ [$€-407]_-;_-* &quot;-&quot;??\ [$€-407]_-;_-@_-"/>
    <numFmt numFmtId="165" formatCode="#,##0\ &quot;€&quot;"/>
    <numFmt numFmtId="166" formatCode="0.0%"/>
    <numFmt numFmtId="167" formatCode="_-* #,##0\ &quot;€&quot;_-;\-* #,##0\ &quot;€&quot;_-;_-* &quot;-&quot;??\ &quot;€&quot;_-;_-@_-"/>
    <numFmt numFmtId="168" formatCode="#,##0_ ;[Red]\-#,##0\ "/>
    <numFmt numFmtId="169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rgb="FF3F3F76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44" fontId="1" fillId="0" borderId="0" applyFont="0" applyFill="0" applyBorder="0" applyAlignment="0" applyProtection="0"/>
  </cellStyleXfs>
  <cellXfs count="95">
    <xf numFmtId="0" fontId="0" fillId="0" borderId="0" xfId="0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applyBorder="1"/>
    <xf numFmtId="0" fontId="0" fillId="0" borderId="0" xfId="0" applyBorder="1" applyAlignment="1"/>
    <xf numFmtId="166" fontId="0" fillId="0" borderId="0" xfId="0" applyNumberFormat="1"/>
    <xf numFmtId="10" fontId="0" fillId="0" borderId="0" xfId="0" applyNumberFormat="1"/>
    <xf numFmtId="167" fontId="0" fillId="0" borderId="0" xfId="3" applyNumberFormat="1" applyFont="1"/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1" fontId="0" fillId="0" borderId="0" xfId="1" applyNumberFormat="1" applyFont="1"/>
    <xf numFmtId="169" fontId="0" fillId="0" borderId="0" xfId="0" applyNumberFormat="1"/>
    <xf numFmtId="44" fontId="0" fillId="0" borderId="0" xfId="3" applyFont="1"/>
    <xf numFmtId="44" fontId="0" fillId="0" borderId="0" xfId="3" applyNumberFormat="1" applyFont="1"/>
    <xf numFmtId="44" fontId="0" fillId="0" borderId="0" xfId="0" applyNumberFormat="1"/>
    <xf numFmtId="0" fontId="0" fillId="3" borderId="0" xfId="0" applyFill="1"/>
    <xf numFmtId="9" fontId="7" fillId="4" borderId="0" xfId="0" applyNumberFormat="1" applyFont="1" applyFill="1"/>
    <xf numFmtId="0" fontId="0" fillId="0" borderId="26" xfId="0" applyBorder="1"/>
    <xf numFmtId="44" fontId="0" fillId="0" borderId="27" xfId="3" applyFont="1" applyBorder="1"/>
    <xf numFmtId="44" fontId="0" fillId="0" borderId="28" xfId="3" applyFont="1" applyBorder="1"/>
    <xf numFmtId="6" fontId="7" fillId="4" borderId="0" xfId="0" applyNumberFormat="1" applyFont="1" applyFill="1"/>
    <xf numFmtId="6" fontId="0" fillId="0" borderId="0" xfId="0" applyNumberFormat="1"/>
    <xf numFmtId="0" fontId="0" fillId="0" borderId="2" xfId="0" applyBorder="1"/>
    <xf numFmtId="0" fontId="0" fillId="0" borderId="3" xfId="0" applyBorder="1"/>
    <xf numFmtId="8" fontId="0" fillId="0" borderId="3" xfId="0" applyNumberFormat="1" applyBorder="1"/>
    <xf numFmtId="44" fontId="0" fillId="0" borderId="3" xfId="0" applyNumberFormat="1" applyBorder="1"/>
    <xf numFmtId="0" fontId="0" fillId="0" borderId="4" xfId="0" applyBorder="1"/>
    <xf numFmtId="0" fontId="0" fillId="0" borderId="5" xfId="0" applyBorder="1"/>
    <xf numFmtId="44" fontId="0" fillId="0" borderId="0" xfId="0" applyNumberForma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8" fontId="0" fillId="0" borderId="9" xfId="0" applyNumberFormat="1" applyBorder="1"/>
    <xf numFmtId="0" fontId="0" fillId="0" borderId="10" xfId="0" applyBorder="1"/>
    <xf numFmtId="0" fontId="0" fillId="0" borderId="0" xfId="0" quotePrefix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9" fontId="4" fillId="0" borderId="11" xfId="0" applyNumberFormat="1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9" fontId="6" fillId="2" borderId="17" xfId="1" applyFont="1" applyFill="1" applyBorder="1" applyAlignment="1">
      <alignment horizontal="center" vertical="center"/>
    </xf>
    <xf numFmtId="9" fontId="6" fillId="2" borderId="18" xfId="1" applyFont="1" applyFill="1" applyBorder="1" applyAlignment="1">
      <alignment horizontal="center" vertical="center"/>
    </xf>
    <xf numFmtId="9" fontId="6" fillId="2" borderId="19" xfId="1" applyFont="1" applyFill="1" applyBorder="1" applyAlignment="1">
      <alignment horizontal="center" vertical="center"/>
    </xf>
    <xf numFmtId="9" fontId="6" fillId="2" borderId="20" xfId="1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6" fillId="2" borderId="17" xfId="2" applyNumberFormat="1" applyFont="1" applyBorder="1" applyAlignment="1">
      <alignment horizontal="center" vertical="center"/>
    </xf>
    <xf numFmtId="165" fontId="6" fillId="2" borderId="18" xfId="2" applyNumberFormat="1" applyFont="1" applyBorder="1" applyAlignment="1">
      <alignment horizontal="center" vertical="center"/>
    </xf>
    <xf numFmtId="165" fontId="6" fillId="2" borderId="19" xfId="2" applyNumberFormat="1" applyFont="1" applyBorder="1" applyAlignment="1">
      <alignment horizontal="center" vertical="center"/>
    </xf>
    <xf numFmtId="165" fontId="6" fillId="2" borderId="20" xfId="2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6" fontId="5" fillId="0" borderId="11" xfId="0" applyNumberFormat="1" applyFont="1" applyBorder="1" applyAlignment="1">
      <alignment horizontal="center"/>
    </xf>
    <xf numFmtId="6" fontId="5" fillId="0" borderId="13" xfId="0" applyNumberFormat="1" applyFont="1" applyBorder="1" applyAlignment="1">
      <alignment horizontal="center"/>
    </xf>
    <xf numFmtId="9" fontId="6" fillId="2" borderId="23" xfId="1" applyFont="1" applyFill="1" applyBorder="1" applyAlignment="1">
      <alignment horizontal="center" vertical="center"/>
    </xf>
    <xf numFmtId="9" fontId="6" fillId="2" borderId="7" xfId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164" fontId="4" fillId="0" borderId="11" xfId="0" applyNumberFormat="1" applyFont="1" applyBorder="1" applyAlignment="1">
      <alignment horizontal="center"/>
    </xf>
    <xf numFmtId="164" fontId="4" fillId="0" borderId="21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44" fontId="0" fillId="3" borderId="3" xfId="0" applyNumberFormat="1" applyFill="1" applyBorder="1"/>
    <xf numFmtId="44" fontId="0" fillId="3" borderId="0" xfId="0" applyNumberFormat="1" applyFill="1" applyBorder="1"/>
  </cellXfs>
  <cellStyles count="4">
    <cellStyle name="Eingabe" xfId="2" builtinId="20"/>
    <cellStyle name="Prozent" xfId="1" builtinId="5"/>
    <cellStyle name="Standard" xfId="0" builtinId="0"/>
    <cellStyle name="Währung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Rechnung!$C$4</c:f>
              <c:strCache>
                <c:ptCount val="1"/>
                <c:pt idx="0">
                  <c:v>Umsatz letzte Woche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Rechnung!$B$5:$B$11</c:f>
              <c:strCache>
                <c:ptCount val="7"/>
                <c:pt idx="0">
                  <c:v>Mo</c:v>
                </c:pt>
                <c:pt idx="1">
                  <c:v>Di</c:v>
                </c:pt>
                <c:pt idx="2">
                  <c:v>Mi</c:v>
                </c:pt>
                <c:pt idx="3">
                  <c:v>Do</c:v>
                </c:pt>
                <c:pt idx="4">
                  <c:v>Fr</c:v>
                </c:pt>
                <c:pt idx="5">
                  <c:v>Sa</c:v>
                </c:pt>
                <c:pt idx="6">
                  <c:v>So</c:v>
                </c:pt>
              </c:strCache>
            </c:strRef>
          </c:cat>
          <c:val>
            <c:numRef>
              <c:f>Rechnung!$C$5:$C$11</c:f>
              <c:numCache>
                <c:formatCode>_-* #,##0\ [$€-407]_-;\-* #,##0\ [$€-407]_-;_-* "-"??\ [$€-407]_-;_-@_-</c:formatCode>
                <c:ptCount val="7"/>
                <c:pt idx="0">
                  <c:v>545</c:v>
                </c:pt>
                <c:pt idx="1">
                  <c:v>493</c:v>
                </c:pt>
                <c:pt idx="2">
                  <c:v>521</c:v>
                </c:pt>
                <c:pt idx="3">
                  <c:v>594</c:v>
                </c:pt>
                <c:pt idx="4">
                  <c:v>695</c:v>
                </c:pt>
                <c:pt idx="5">
                  <c:v>843</c:v>
                </c:pt>
                <c:pt idx="6">
                  <c:v>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9-3245-BCCB-C2AF569AEDE0}"/>
            </c:ext>
          </c:extLst>
        </c:ser>
        <c:ser>
          <c:idx val="1"/>
          <c:order val="1"/>
          <c:tx>
            <c:strRef>
              <c:f>Rechnung!$D$4</c:f>
              <c:strCache>
                <c:ptCount val="1"/>
                <c:pt idx="0">
                  <c:v>Prognose letzte Woche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Rechnung!$B$5:$B$11</c:f>
              <c:strCache>
                <c:ptCount val="7"/>
                <c:pt idx="0">
                  <c:v>Mo</c:v>
                </c:pt>
                <c:pt idx="1">
                  <c:v>Di</c:v>
                </c:pt>
                <c:pt idx="2">
                  <c:v>Mi</c:v>
                </c:pt>
                <c:pt idx="3">
                  <c:v>Do</c:v>
                </c:pt>
                <c:pt idx="4">
                  <c:v>Fr</c:v>
                </c:pt>
                <c:pt idx="5">
                  <c:v>Sa</c:v>
                </c:pt>
                <c:pt idx="6">
                  <c:v>So</c:v>
                </c:pt>
              </c:strCache>
            </c:strRef>
          </c:cat>
          <c:val>
            <c:numRef>
              <c:f>Rechnung!$D$5:$D$11</c:f>
              <c:numCache>
                <c:formatCode>_-* #,##0\ [$€-407]_-;\-* #,##0\ [$€-407]_-;_-* "-"??\ [$€-407]_-;_-@_-</c:formatCode>
                <c:ptCount val="7"/>
                <c:pt idx="0">
                  <c:v>589</c:v>
                </c:pt>
                <c:pt idx="1">
                  <c:v>523</c:v>
                </c:pt>
                <c:pt idx="2">
                  <c:v>542</c:v>
                </c:pt>
                <c:pt idx="3">
                  <c:v>541</c:v>
                </c:pt>
                <c:pt idx="4">
                  <c:v>626</c:v>
                </c:pt>
                <c:pt idx="5">
                  <c:v>776</c:v>
                </c:pt>
                <c:pt idx="6">
                  <c:v>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9-3245-BCCB-C2AF569AEDE0}"/>
            </c:ext>
          </c:extLst>
        </c:ser>
        <c:ser>
          <c:idx val="2"/>
          <c:order val="2"/>
          <c:tx>
            <c:strRef>
              <c:f>Rechnung!$E$4</c:f>
              <c:strCache>
                <c:ptCount val="1"/>
                <c:pt idx="0">
                  <c:v>Referenz-Bestellmenge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Rechnung!$B$5:$B$11</c:f>
              <c:strCache>
                <c:ptCount val="7"/>
                <c:pt idx="0">
                  <c:v>Mo</c:v>
                </c:pt>
                <c:pt idx="1">
                  <c:v>Di</c:v>
                </c:pt>
                <c:pt idx="2">
                  <c:v>Mi</c:v>
                </c:pt>
                <c:pt idx="3">
                  <c:v>Do</c:v>
                </c:pt>
                <c:pt idx="4">
                  <c:v>Fr</c:v>
                </c:pt>
                <c:pt idx="5">
                  <c:v>Sa</c:v>
                </c:pt>
                <c:pt idx="6">
                  <c:v>So</c:v>
                </c:pt>
              </c:strCache>
            </c:strRef>
          </c:cat>
          <c:val>
            <c:numRef>
              <c:f>Rechnung!$E$5:$E$11</c:f>
              <c:numCache>
                <c:formatCode>_-* #,##0\ [$€-407]_-;\-* #,##0\ [$€-407]_-;_-* "-"??\ [$€-407]_-;_-@_-</c:formatCode>
                <c:ptCount val="7"/>
                <c:pt idx="0">
                  <c:v>695</c:v>
                </c:pt>
                <c:pt idx="1">
                  <c:v>643</c:v>
                </c:pt>
                <c:pt idx="2">
                  <c:v>671</c:v>
                </c:pt>
                <c:pt idx="3">
                  <c:v>744</c:v>
                </c:pt>
                <c:pt idx="4">
                  <c:v>845</c:v>
                </c:pt>
                <c:pt idx="5">
                  <c:v>993</c:v>
                </c:pt>
                <c:pt idx="6">
                  <c:v>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9-3245-BCCB-C2AF569AEDE0}"/>
            </c:ext>
          </c:extLst>
        </c:ser>
        <c:ser>
          <c:idx val="3"/>
          <c:order val="3"/>
          <c:tx>
            <c:strRef>
              <c:f>Rechnung!$F$4</c:f>
              <c:strCache>
                <c:ptCount val="1"/>
                <c:pt idx="0">
                  <c:v>Neue Bestellmenge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Rechnung!$B$5:$B$11</c:f>
              <c:strCache>
                <c:ptCount val="7"/>
                <c:pt idx="0">
                  <c:v>Mo</c:v>
                </c:pt>
                <c:pt idx="1">
                  <c:v>Di</c:v>
                </c:pt>
                <c:pt idx="2">
                  <c:v>Mi</c:v>
                </c:pt>
                <c:pt idx="3">
                  <c:v>Do</c:v>
                </c:pt>
                <c:pt idx="4">
                  <c:v>Fr</c:v>
                </c:pt>
                <c:pt idx="5">
                  <c:v>Sa</c:v>
                </c:pt>
                <c:pt idx="6">
                  <c:v>So</c:v>
                </c:pt>
              </c:strCache>
            </c:strRef>
          </c:cat>
          <c:val>
            <c:numRef>
              <c:f>Rechnung!$F$5:$F$11</c:f>
              <c:numCache>
                <c:formatCode>_-* #,##0\ [$€-407]_-;\-* #,##0\ [$€-407]_-;_-* "-"??\ [$€-407]_-;_-@_-</c:formatCode>
                <c:ptCount val="7"/>
                <c:pt idx="0">
                  <c:v>647.38250798722049</c:v>
                </c:pt>
                <c:pt idx="1">
                  <c:v>574.8404952076678</c:v>
                </c:pt>
                <c:pt idx="2">
                  <c:v>595.72380191693298</c:v>
                </c:pt>
                <c:pt idx="3">
                  <c:v>594.62468051118219</c:v>
                </c:pt>
                <c:pt idx="4">
                  <c:v>688.05</c:v>
                </c:pt>
                <c:pt idx="5">
                  <c:v>852.91821086261984</c:v>
                </c:pt>
                <c:pt idx="6">
                  <c:v>744.10519169329075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9-3245-BCCB-C2AF569AE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612399"/>
        <c:axId val="1172614047"/>
      </c:lineChart>
      <c:catAx>
        <c:axId val="117261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2614047"/>
        <c:crosses val="autoZero"/>
        <c:auto val="1"/>
        <c:lblAlgn val="ctr"/>
        <c:lblOffset val="100"/>
        <c:noMultiLvlLbl val="0"/>
      </c:catAx>
      <c:valAx>
        <c:axId val="1172614047"/>
        <c:scaling>
          <c:orientation val="minMax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[$€-407]_-;\-* #,##0\ [$€-407]_-;_-* &quot;-&quot;??\ [$€-407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261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Einsparung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344-CC40-A031-0D98F37535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5D-9148-B2E9-80C5BBD6396A}"/>
              </c:ext>
            </c:extLst>
          </c:dPt>
          <c:cat>
            <c:strRef>
              <c:f>Rechnung!$B$32:$B$33</c:f>
              <c:strCache>
                <c:ptCount val="2"/>
                <c:pt idx="0">
                  <c:v>Einsparung</c:v>
                </c:pt>
                <c:pt idx="1">
                  <c:v>Verbleibende Retoure</c:v>
                </c:pt>
              </c:strCache>
            </c:strRef>
          </c:cat>
          <c:val>
            <c:numRef>
              <c:f>Rechnung!$C$32:$C$33</c:f>
              <c:numCache>
                <c:formatCode>_-* #,##0\ [$€-407]_-;\-* #,##0\ [$€-407]_-;_-* "-"??\ [$€-407]_-;_-@_-</c:formatCode>
                <c:ptCount val="2"/>
                <c:pt idx="0">
                  <c:v>845.23514376996764</c:v>
                </c:pt>
                <c:pt idx="1">
                  <c:v>504.76485623003236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4-CC40-A031-0D98F3753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Ausverkäufe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9E5-5B48-BB24-BC4D807FCD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AD-3043-A669-A801BEDF8587}"/>
              </c:ext>
            </c:extLst>
          </c:dPt>
          <c:cat>
            <c:strRef>
              <c:f>Rechnung!$B$44:$B$45</c:f>
              <c:strCache>
                <c:ptCount val="2"/>
                <c:pt idx="0">
                  <c:v>Rohertrag / Monat</c:v>
                </c:pt>
                <c:pt idx="1">
                  <c:v>Verlust durch Ausverkäufe</c:v>
                </c:pt>
              </c:strCache>
            </c:strRef>
          </c:cat>
          <c:val>
            <c:numRef>
              <c:f>Rechnung!$C$44:$C$45</c:f>
              <c:numCache>
                <c:formatCode>_-* #,##0\ [$€-407]_-;\-* #,##0\ [$€-407]_-;_-* "-"??\ [$€-407]_-;_-@_-</c:formatCode>
                <c:ptCount val="2"/>
                <c:pt idx="0">
                  <c:v>12936</c:v>
                </c:pt>
                <c:pt idx="1">
                  <c:v>20.850000000000136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5-5B48-BB24-BC4D807FC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17</xdr:row>
      <xdr:rowOff>12700</xdr:rowOff>
    </xdr:from>
    <xdr:to>
      <xdr:col>11</xdr:col>
      <xdr:colOff>800100</xdr:colOff>
      <xdr:row>34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0910D36-D90D-F64C-8FEB-6868615BA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2</xdr:row>
      <xdr:rowOff>25400</xdr:rowOff>
    </xdr:from>
    <xdr:to>
      <xdr:col>6</xdr:col>
      <xdr:colOff>12700</xdr:colOff>
      <xdr:row>16</xdr:row>
      <xdr:rowOff>12700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BEDAF6F-5FA6-494B-82D3-C136BCFCC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</xdr:colOff>
      <xdr:row>2</xdr:row>
      <xdr:rowOff>50800</xdr:rowOff>
    </xdr:from>
    <xdr:to>
      <xdr:col>12</xdr:col>
      <xdr:colOff>50800</xdr:colOff>
      <xdr:row>16</xdr:row>
      <xdr:rowOff>50800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A715CDAD-C205-2446-A565-8BE3A60C7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8FB8-2A7B-4740-9AD4-5F1704F7A251}">
  <dimension ref="B1:Q44"/>
  <sheetViews>
    <sheetView tabSelected="1" workbookViewId="0">
      <selection activeCell="P36" sqref="P36"/>
    </sheetView>
  </sheetViews>
  <sheetFormatPr baseColWidth="10" defaultRowHeight="16" x14ac:dyDescent="0.2"/>
  <cols>
    <col min="1" max="1" width="2.6640625" customWidth="1"/>
    <col min="7" max="7" width="14" customWidth="1"/>
    <col min="13" max="13" width="14" customWidth="1"/>
  </cols>
  <sheetData>
    <row r="1" spans="2:16" ht="17" thickBot="1" x14ac:dyDescent="0.25"/>
    <row r="2" spans="2:16" x14ac:dyDescent="0.2"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6"/>
    </row>
    <row r="3" spans="2:16" x14ac:dyDescent="0.2">
      <c r="B3" s="3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9"/>
    </row>
    <row r="4" spans="2:16" x14ac:dyDescent="0.2">
      <c r="B4" s="3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9"/>
    </row>
    <row r="5" spans="2:16" x14ac:dyDescent="0.2">
      <c r="B5" s="3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9"/>
    </row>
    <row r="6" spans="2:16" x14ac:dyDescent="0.2">
      <c r="B6" s="3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9"/>
    </row>
    <row r="7" spans="2:16" x14ac:dyDescent="0.2">
      <c r="B7" s="3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9"/>
    </row>
    <row r="8" spans="2:16" ht="16" customHeight="1" x14ac:dyDescent="0.2">
      <c r="B8" s="38"/>
      <c r="C8" s="4"/>
      <c r="D8" s="4"/>
      <c r="E8" s="4"/>
      <c r="F8" s="4"/>
      <c r="G8" s="71">
        <f>Rechnung!C32</f>
        <v>845.23514376996764</v>
      </c>
      <c r="H8" s="79" t="s">
        <v>11</v>
      </c>
      <c r="I8" s="4"/>
      <c r="J8" s="4"/>
      <c r="K8" s="4"/>
      <c r="L8" s="4"/>
      <c r="M8" s="81">
        <f>Rechnung!C45*-1</f>
        <v>-20.850000000000136</v>
      </c>
      <c r="N8" s="63" t="s">
        <v>11</v>
      </c>
    </row>
    <row r="9" spans="2:16" ht="16" customHeight="1" x14ac:dyDescent="0.2">
      <c r="B9" s="38"/>
      <c r="C9" s="4"/>
      <c r="D9" s="4"/>
      <c r="E9" s="4"/>
      <c r="F9" s="4"/>
      <c r="G9" s="72"/>
      <c r="H9" s="80"/>
      <c r="I9" s="4"/>
      <c r="J9" s="4"/>
      <c r="K9" s="4"/>
      <c r="L9" s="4"/>
      <c r="M9" s="82"/>
      <c r="N9" s="45"/>
      <c r="P9" s="1"/>
    </row>
    <row r="10" spans="2:16" x14ac:dyDescent="0.2">
      <c r="B10" s="38"/>
      <c r="C10" s="5"/>
      <c r="D10" s="5"/>
      <c r="E10" s="5"/>
      <c r="F10" s="5"/>
      <c r="G10" s="73" t="s">
        <v>25</v>
      </c>
      <c r="H10" s="74"/>
      <c r="I10" s="5"/>
      <c r="J10" s="5"/>
      <c r="K10" s="5"/>
      <c r="L10" s="5"/>
      <c r="M10" s="73" t="s">
        <v>27</v>
      </c>
      <c r="N10" s="77"/>
    </row>
    <row r="11" spans="2:16" x14ac:dyDescent="0.2">
      <c r="B11" s="38"/>
      <c r="C11" s="5"/>
      <c r="D11" s="5"/>
      <c r="E11" s="5"/>
      <c r="F11" s="5"/>
      <c r="G11" s="75"/>
      <c r="H11" s="76"/>
      <c r="I11" s="5"/>
      <c r="J11" s="5"/>
      <c r="K11" s="5"/>
      <c r="L11" s="5"/>
      <c r="M11" s="75"/>
      <c r="N11" s="78"/>
    </row>
    <row r="12" spans="2:16" x14ac:dyDescent="0.2">
      <c r="B12" s="3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9"/>
    </row>
    <row r="13" spans="2:16" x14ac:dyDescent="0.2">
      <c r="B13" s="3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9"/>
    </row>
    <row r="14" spans="2:16" ht="12" customHeight="1" x14ac:dyDescent="0.2">
      <c r="B14" s="3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9"/>
    </row>
    <row r="15" spans="2:16" ht="12" customHeight="1" x14ac:dyDescent="0.2">
      <c r="B15" s="3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9"/>
    </row>
    <row r="16" spans="2:16" ht="12" customHeight="1" x14ac:dyDescent="0.2">
      <c r="B16" s="3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9"/>
    </row>
    <row r="17" spans="2:17" x14ac:dyDescent="0.2">
      <c r="B17" s="3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9"/>
    </row>
    <row r="18" spans="2:17" x14ac:dyDescent="0.2">
      <c r="B18" s="38"/>
      <c r="C18" s="48"/>
      <c r="D18" s="5"/>
      <c r="E18" s="5"/>
      <c r="F18" s="5"/>
      <c r="G18" s="5"/>
      <c r="H18" s="5"/>
      <c r="I18" s="5"/>
      <c r="J18" s="5"/>
      <c r="K18" s="5"/>
      <c r="L18" s="5"/>
      <c r="M18" s="89">
        <f>Rechnung!C12</f>
        <v>4312</v>
      </c>
      <c r="N18" s="90"/>
      <c r="Q18" s="3"/>
    </row>
    <row r="19" spans="2:17" x14ac:dyDescent="0.2">
      <c r="B19" s="38"/>
      <c r="C19" s="48"/>
      <c r="D19" s="5"/>
      <c r="E19" s="5"/>
      <c r="F19" s="5"/>
      <c r="G19" s="5"/>
      <c r="H19" s="5"/>
      <c r="I19" s="5"/>
      <c r="J19" s="5"/>
      <c r="K19" s="5"/>
      <c r="L19" s="5"/>
      <c r="M19" s="91"/>
      <c r="N19" s="92"/>
    </row>
    <row r="20" spans="2:17" x14ac:dyDescent="0.2">
      <c r="B20" s="38"/>
      <c r="C20" s="48"/>
      <c r="D20" s="5"/>
      <c r="E20" s="5"/>
      <c r="F20" s="5"/>
      <c r="G20" s="5"/>
      <c r="H20" s="5"/>
      <c r="I20" s="5"/>
      <c r="J20" s="5"/>
      <c r="K20" s="5"/>
      <c r="L20" s="5"/>
      <c r="M20" s="44" t="s">
        <v>38</v>
      </c>
      <c r="N20" s="45"/>
    </row>
    <row r="21" spans="2:17" x14ac:dyDescent="0.2">
      <c r="B21" s="38"/>
      <c r="C21" s="48"/>
      <c r="D21" s="5"/>
      <c r="E21" s="5"/>
      <c r="F21" s="5"/>
      <c r="G21" s="5"/>
      <c r="H21" s="5"/>
      <c r="I21" s="5"/>
      <c r="J21" s="5"/>
      <c r="K21" s="5"/>
      <c r="L21" s="5"/>
      <c r="M21" s="46"/>
      <c r="N21" s="47"/>
    </row>
    <row r="22" spans="2:17" ht="16" customHeight="1" x14ac:dyDescent="0.2">
      <c r="B22" s="38"/>
      <c r="C22" s="48"/>
      <c r="D22" s="5"/>
      <c r="E22" s="5"/>
      <c r="F22" s="5"/>
      <c r="G22" s="5"/>
      <c r="H22" s="5"/>
      <c r="I22" s="5"/>
      <c r="J22" s="5"/>
      <c r="K22" s="5"/>
      <c r="L22" s="48"/>
      <c r="M22" s="48"/>
      <c r="N22" s="49"/>
    </row>
    <row r="23" spans="2:17" ht="16" customHeight="1" x14ac:dyDescent="0.2">
      <c r="B23" s="38"/>
      <c r="C23" s="48"/>
      <c r="D23" s="5"/>
      <c r="E23" s="5"/>
      <c r="F23" s="5"/>
      <c r="G23" s="5"/>
      <c r="H23" s="5"/>
      <c r="I23" s="5"/>
      <c r="J23" s="5"/>
      <c r="K23" s="5"/>
      <c r="L23" s="48"/>
      <c r="M23" s="48"/>
      <c r="N23" s="49"/>
    </row>
    <row r="24" spans="2:17" ht="16" customHeight="1" x14ac:dyDescent="0.2">
      <c r="B24" s="38"/>
      <c r="C24" s="48"/>
      <c r="D24" s="5"/>
      <c r="E24" s="5"/>
      <c r="F24" s="5"/>
      <c r="G24" s="5"/>
      <c r="H24" s="5"/>
      <c r="I24" s="5"/>
      <c r="J24" s="5"/>
      <c r="K24" s="5"/>
      <c r="L24" s="5"/>
      <c r="M24" s="40">
        <f>Rechnung!I12</f>
        <v>0.9</v>
      </c>
      <c r="N24" s="41"/>
    </row>
    <row r="25" spans="2:17" ht="16" customHeight="1" x14ac:dyDescent="0.2">
      <c r="B25" s="38"/>
      <c r="C25" s="48"/>
      <c r="D25" s="5"/>
      <c r="E25" s="5"/>
      <c r="F25" s="5"/>
      <c r="G25" s="5"/>
      <c r="H25" s="5"/>
      <c r="I25" s="5"/>
      <c r="J25" s="5"/>
      <c r="K25" s="5"/>
      <c r="L25" s="5"/>
      <c r="M25" s="42"/>
      <c r="N25" s="43"/>
    </row>
    <row r="26" spans="2:17" ht="16" customHeight="1" x14ac:dyDescent="0.2">
      <c r="B26" s="38"/>
      <c r="C26" s="48"/>
      <c r="D26" s="5"/>
      <c r="E26" s="5"/>
      <c r="F26" s="5"/>
      <c r="G26" s="5"/>
      <c r="H26" s="5"/>
      <c r="I26" s="5"/>
      <c r="J26" s="5"/>
      <c r="K26" s="5"/>
      <c r="L26" s="5"/>
      <c r="M26" s="44" t="s">
        <v>39</v>
      </c>
      <c r="N26" s="45"/>
    </row>
    <row r="27" spans="2:17" ht="16" customHeight="1" x14ac:dyDescent="0.2">
      <c r="B27" s="38"/>
      <c r="C27" s="48"/>
      <c r="D27" s="5"/>
      <c r="E27" s="5"/>
      <c r="F27" s="5"/>
      <c r="G27" s="5"/>
      <c r="H27" s="5"/>
      <c r="I27" s="5"/>
      <c r="J27" s="5"/>
      <c r="K27" s="5"/>
      <c r="L27" s="5"/>
      <c r="M27" s="46"/>
      <c r="N27" s="47"/>
    </row>
    <row r="28" spans="2:17" ht="16" customHeight="1" x14ac:dyDescent="0.2">
      <c r="B28" s="3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9"/>
    </row>
    <row r="29" spans="2:17" x14ac:dyDescent="0.2">
      <c r="B29" s="3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9"/>
    </row>
    <row r="30" spans="2:17" x14ac:dyDescent="0.2">
      <c r="B30" s="3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9"/>
    </row>
    <row r="31" spans="2:17" x14ac:dyDescent="0.2">
      <c r="B31" s="3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9"/>
    </row>
    <row r="32" spans="2:17" x14ac:dyDescent="0.2">
      <c r="B32" s="3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9"/>
    </row>
    <row r="33" spans="2:14" x14ac:dyDescent="0.2">
      <c r="B33" s="3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9"/>
    </row>
    <row r="34" spans="2:14" x14ac:dyDescent="0.2">
      <c r="B34" s="3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9"/>
    </row>
    <row r="35" spans="2:14" x14ac:dyDescent="0.2">
      <c r="B35" s="3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9"/>
    </row>
    <row r="36" spans="2:14" ht="17" customHeight="1" x14ac:dyDescent="0.2">
      <c r="B36" s="38"/>
      <c r="C36" s="54" t="s">
        <v>23</v>
      </c>
      <c r="D36" s="55"/>
      <c r="E36" s="48"/>
      <c r="F36" s="67">
        <v>150</v>
      </c>
      <c r="G36" s="68"/>
      <c r="H36" s="48"/>
      <c r="I36" s="58">
        <v>0.3</v>
      </c>
      <c r="J36" s="59"/>
      <c r="K36" s="48"/>
      <c r="L36" s="48"/>
      <c r="M36" s="58">
        <v>0.03</v>
      </c>
      <c r="N36" s="83"/>
    </row>
    <row r="37" spans="2:14" ht="16" customHeight="1" x14ac:dyDescent="0.2">
      <c r="B37" s="38"/>
      <c r="C37" s="56"/>
      <c r="D37" s="57"/>
      <c r="E37" s="48"/>
      <c r="F37" s="69"/>
      <c r="G37" s="70"/>
      <c r="H37" s="48"/>
      <c r="I37" s="60"/>
      <c r="J37" s="61"/>
      <c r="K37" s="48"/>
      <c r="L37" s="48"/>
      <c r="M37" s="60"/>
      <c r="N37" s="84"/>
    </row>
    <row r="38" spans="2:14" ht="20" customHeight="1" x14ac:dyDescent="0.2">
      <c r="B38" s="38"/>
      <c r="C38" s="54" t="s">
        <v>22</v>
      </c>
      <c r="D38" s="55"/>
      <c r="E38" s="48"/>
      <c r="F38" s="50" t="s">
        <v>7</v>
      </c>
      <c r="G38" s="51"/>
      <c r="H38" s="48"/>
      <c r="I38" s="50" t="s">
        <v>24</v>
      </c>
      <c r="J38" s="51"/>
      <c r="K38" s="48"/>
      <c r="L38" s="48"/>
      <c r="M38" s="85" t="s">
        <v>13</v>
      </c>
      <c r="N38" s="86"/>
    </row>
    <row r="39" spans="2:14" ht="17" thickBot="1" x14ac:dyDescent="0.25">
      <c r="B39" s="39"/>
      <c r="C39" s="52"/>
      <c r="D39" s="53"/>
      <c r="E39" s="62"/>
      <c r="F39" s="52"/>
      <c r="G39" s="53"/>
      <c r="H39" s="62"/>
      <c r="I39" s="52"/>
      <c r="J39" s="53"/>
      <c r="K39" s="62"/>
      <c r="L39" s="62"/>
      <c r="M39" s="87"/>
      <c r="N39" s="88"/>
    </row>
    <row r="41" spans="2:14" x14ac:dyDescent="0.2">
      <c r="F41" t="s">
        <v>112</v>
      </c>
    </row>
    <row r="44" spans="2:14" x14ac:dyDescent="0.2">
      <c r="F44" s="10">
        <f>F36</f>
        <v>150</v>
      </c>
    </row>
  </sheetData>
  <mergeCells count="29">
    <mergeCell ref="N8:N9"/>
    <mergeCell ref="B8:B11"/>
    <mergeCell ref="B3:N7"/>
    <mergeCell ref="B2:N2"/>
    <mergeCell ref="F36:G37"/>
    <mergeCell ref="K36:L39"/>
    <mergeCell ref="G8:G9"/>
    <mergeCell ref="G10:H11"/>
    <mergeCell ref="M10:N11"/>
    <mergeCell ref="H8:H9"/>
    <mergeCell ref="M8:M9"/>
    <mergeCell ref="M36:N37"/>
    <mergeCell ref="M38:N39"/>
    <mergeCell ref="B12:N17"/>
    <mergeCell ref="M18:N19"/>
    <mergeCell ref="M20:N21"/>
    <mergeCell ref="B36:B39"/>
    <mergeCell ref="M24:N25"/>
    <mergeCell ref="M26:N27"/>
    <mergeCell ref="B28:N35"/>
    <mergeCell ref="L22:N23"/>
    <mergeCell ref="B18:C27"/>
    <mergeCell ref="F38:G39"/>
    <mergeCell ref="C36:D37"/>
    <mergeCell ref="C38:D39"/>
    <mergeCell ref="I38:J39"/>
    <mergeCell ref="I36:J37"/>
    <mergeCell ref="E36:E39"/>
    <mergeCell ref="H36:H39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F8594-06DA-904C-BCE2-49028E2DD465}">
  <dimension ref="B4:I52"/>
  <sheetViews>
    <sheetView workbookViewId="0">
      <selection activeCell="E28" sqref="E28"/>
    </sheetView>
  </sheetViews>
  <sheetFormatPr baseColWidth="10" defaultRowHeight="16" x14ac:dyDescent="0.2"/>
  <cols>
    <col min="3" max="3" width="19" bestFit="1" customWidth="1"/>
    <col min="4" max="4" width="26" bestFit="1" customWidth="1"/>
    <col min="5" max="5" width="20.6640625" bestFit="1" customWidth="1"/>
    <col min="6" max="6" width="35.1640625" bestFit="1" customWidth="1"/>
    <col min="7" max="7" width="14.5" bestFit="1" customWidth="1"/>
    <col min="8" max="8" width="14.6640625" bestFit="1" customWidth="1"/>
    <col min="9" max="9" width="4.6640625" bestFit="1" customWidth="1"/>
  </cols>
  <sheetData>
    <row r="4" spans="2:9" x14ac:dyDescent="0.2">
      <c r="C4" t="s">
        <v>30</v>
      </c>
      <c r="D4" t="s">
        <v>31</v>
      </c>
      <c r="E4" t="s">
        <v>28</v>
      </c>
      <c r="F4" t="s">
        <v>29</v>
      </c>
      <c r="G4" t="s">
        <v>32</v>
      </c>
      <c r="H4" t="s">
        <v>33</v>
      </c>
    </row>
    <row r="5" spans="2:9" x14ac:dyDescent="0.2">
      <c r="B5" t="s">
        <v>0</v>
      </c>
      <c r="C5" s="1">
        <v>545</v>
      </c>
      <c r="D5" s="1">
        <f>ROUND(C5*(1+G5),0)</f>
        <v>589</v>
      </c>
      <c r="E5" s="1">
        <f>C5+Dashboard!$F$36</f>
        <v>695</v>
      </c>
      <c r="F5" s="1">
        <f>(D5/$D$23)*(0.96+Dashboard!$M$36)</f>
        <v>647.38250798722049</v>
      </c>
      <c r="G5" s="3">
        <v>0.08</v>
      </c>
      <c r="H5">
        <f>ABS(G5)</f>
        <v>0.08</v>
      </c>
    </row>
    <row r="6" spans="2:9" x14ac:dyDescent="0.2">
      <c r="B6" t="s">
        <v>1</v>
      </c>
      <c r="C6" s="1">
        <v>493</v>
      </c>
      <c r="D6" s="1">
        <f t="shared" ref="D6:D11" si="0">ROUND(C6*(1+G6),0)</f>
        <v>523</v>
      </c>
      <c r="E6" s="1">
        <f>C6+Dashboard!$F$36</f>
        <v>643</v>
      </c>
      <c r="F6" s="1">
        <f>(D6/$D$23)*(0.96+Dashboard!$M$36)</f>
        <v>574.8404952076678</v>
      </c>
      <c r="G6" s="3">
        <v>0.06</v>
      </c>
      <c r="H6">
        <f t="shared" ref="H6:H11" si="1">ABS(G6)</f>
        <v>0.06</v>
      </c>
    </row>
    <row r="7" spans="2:9" x14ac:dyDescent="0.2">
      <c r="B7" t="s">
        <v>2</v>
      </c>
      <c r="C7" s="1">
        <v>521</v>
      </c>
      <c r="D7" s="1">
        <f t="shared" si="0"/>
        <v>542</v>
      </c>
      <c r="E7" s="1">
        <f>C7+Dashboard!$F$36</f>
        <v>671</v>
      </c>
      <c r="F7" s="1">
        <f>(D7/$D$23)*(0.96+Dashboard!$M$36)</f>
        <v>595.72380191693298</v>
      </c>
      <c r="G7" s="3">
        <v>0.04</v>
      </c>
      <c r="H7">
        <f t="shared" si="1"/>
        <v>0.04</v>
      </c>
    </row>
    <row r="8" spans="2:9" x14ac:dyDescent="0.2">
      <c r="B8" t="s">
        <v>3</v>
      </c>
      <c r="C8" s="1">
        <v>594</v>
      </c>
      <c r="D8" s="1">
        <f t="shared" si="0"/>
        <v>541</v>
      </c>
      <c r="E8" s="1">
        <f>C8+Dashboard!$F$36</f>
        <v>744</v>
      </c>
      <c r="F8" s="1">
        <f>(D8/$D$23)*(0.96+Dashboard!$M$36)</f>
        <v>594.62468051118219</v>
      </c>
      <c r="G8" s="3">
        <v>-0.09</v>
      </c>
      <c r="H8">
        <f t="shared" si="1"/>
        <v>0.09</v>
      </c>
    </row>
    <row r="9" spans="2:9" x14ac:dyDescent="0.2">
      <c r="B9" t="s">
        <v>4</v>
      </c>
      <c r="C9" s="1">
        <v>695</v>
      </c>
      <c r="D9" s="1">
        <f t="shared" si="0"/>
        <v>626</v>
      </c>
      <c r="E9" s="1">
        <f>C9+Dashboard!$F$36</f>
        <v>845</v>
      </c>
      <c r="F9" s="1">
        <f>(D9/$D$23)*(0.96+Dashboard!$M$36)</f>
        <v>688.05</v>
      </c>
      <c r="G9" s="3">
        <v>-0.1</v>
      </c>
      <c r="H9">
        <f t="shared" si="1"/>
        <v>0.1</v>
      </c>
    </row>
    <row r="10" spans="2:9" x14ac:dyDescent="0.2">
      <c r="B10" t="s">
        <v>5</v>
      </c>
      <c r="C10" s="1">
        <v>843</v>
      </c>
      <c r="D10" s="1">
        <f t="shared" si="0"/>
        <v>776</v>
      </c>
      <c r="E10" s="1">
        <f>C10+Dashboard!$F$36</f>
        <v>993</v>
      </c>
      <c r="F10" s="1">
        <f>(D10/$D$23)*(0.96+Dashboard!$M$36)</f>
        <v>852.91821086261984</v>
      </c>
      <c r="G10" s="3">
        <v>-0.08</v>
      </c>
      <c r="H10">
        <f t="shared" si="1"/>
        <v>0.08</v>
      </c>
    </row>
    <row r="11" spans="2:9" x14ac:dyDescent="0.2">
      <c r="B11" t="s">
        <v>6</v>
      </c>
      <c r="C11" s="1">
        <v>621</v>
      </c>
      <c r="D11" s="1">
        <f t="shared" si="0"/>
        <v>677</v>
      </c>
      <c r="E11" s="1">
        <f>C11+Dashboard!$F$36</f>
        <v>771</v>
      </c>
      <c r="F11" s="1">
        <f>(D11/$D$23)*(0.96+Dashboard!$M$36)</f>
        <v>744.10519169329075</v>
      </c>
      <c r="G11" s="3">
        <v>0.09</v>
      </c>
      <c r="H11">
        <f t="shared" si="1"/>
        <v>0.09</v>
      </c>
    </row>
    <row r="12" spans="2:9" x14ac:dyDescent="0.2">
      <c r="C12" s="1">
        <f>SUM(C5:C11)</f>
        <v>4312</v>
      </c>
      <c r="G12" s="6">
        <f>AVERAGE(G5:G11)</f>
        <v>0</v>
      </c>
      <c r="H12" s="6">
        <f>AVERAGE(H5:H11)</f>
        <v>7.7142857142857152E-2</v>
      </c>
      <c r="I12" s="2">
        <f>1-MAX(H5:H11)</f>
        <v>0.9</v>
      </c>
    </row>
    <row r="14" spans="2:9" x14ac:dyDescent="0.2">
      <c r="D14" t="s">
        <v>15</v>
      </c>
      <c r="F14" t="s">
        <v>20</v>
      </c>
    </row>
    <row r="15" spans="2:9" x14ac:dyDescent="0.2">
      <c r="D15" s="2">
        <f t="shared" ref="D15:D21" si="2">D5/C5</f>
        <v>1.0807339449541284</v>
      </c>
      <c r="F15" s="1">
        <f t="shared" ref="F15:F21" si="3">MAX(0,F5-C5)</f>
        <v>102.38250798722049</v>
      </c>
    </row>
    <row r="16" spans="2:9" x14ac:dyDescent="0.2">
      <c r="D16" s="2">
        <f t="shared" si="2"/>
        <v>1.0608519269776877</v>
      </c>
      <c r="F16" s="1">
        <f t="shared" si="3"/>
        <v>81.8404952076678</v>
      </c>
    </row>
    <row r="17" spans="2:7" x14ac:dyDescent="0.2">
      <c r="D17" s="2">
        <f t="shared" si="2"/>
        <v>1.0403071017274472</v>
      </c>
      <c r="F17" s="1">
        <f t="shared" si="3"/>
        <v>74.723801916932985</v>
      </c>
    </row>
    <row r="18" spans="2:7" x14ac:dyDescent="0.2">
      <c r="D18" s="2">
        <f t="shared" si="2"/>
        <v>0.91077441077441079</v>
      </c>
      <c r="F18" s="1">
        <f t="shared" si="3"/>
        <v>0.62468051118219137</v>
      </c>
    </row>
    <row r="19" spans="2:7" x14ac:dyDescent="0.2">
      <c r="D19" s="2">
        <f t="shared" si="2"/>
        <v>0.90071942446043163</v>
      </c>
      <c r="F19" s="1">
        <f t="shared" si="3"/>
        <v>0</v>
      </c>
    </row>
    <row r="20" spans="2:7" x14ac:dyDescent="0.2">
      <c r="D20" s="2">
        <f t="shared" si="2"/>
        <v>0.9205219454329775</v>
      </c>
      <c r="F20" s="1">
        <f t="shared" si="3"/>
        <v>9.9182108626198442</v>
      </c>
    </row>
    <row r="21" spans="2:7" x14ac:dyDescent="0.2">
      <c r="D21" s="2">
        <f t="shared" si="2"/>
        <v>1.0901771336553945</v>
      </c>
      <c r="F21" s="1">
        <f t="shared" si="3"/>
        <v>123.10519169329075</v>
      </c>
    </row>
    <row r="23" spans="2:7" x14ac:dyDescent="0.2">
      <c r="D23" s="3">
        <f>MIN(D15:D21)</f>
        <v>0.90071942446043163</v>
      </c>
      <c r="E23" t="s">
        <v>16</v>
      </c>
      <c r="F23" s="1">
        <f>SUM(F15:F21)</f>
        <v>392.59488817891406</v>
      </c>
      <c r="G23" t="s">
        <v>21</v>
      </c>
    </row>
    <row r="26" spans="2:7" x14ac:dyDescent="0.2">
      <c r="C26">
        <v>30</v>
      </c>
      <c r="D26" t="s">
        <v>8</v>
      </c>
    </row>
    <row r="28" spans="2:7" x14ac:dyDescent="0.2">
      <c r="B28" t="s">
        <v>7</v>
      </c>
      <c r="C28" s="1">
        <f>$C$26*Dashboard!$F$36*Dashboard!$I$36</f>
        <v>1350</v>
      </c>
      <c r="D28" t="s">
        <v>17</v>
      </c>
    </row>
    <row r="29" spans="2:7" x14ac:dyDescent="0.2">
      <c r="B29" t="s">
        <v>9</v>
      </c>
      <c r="C29" s="1">
        <f>$F$23*($C$26/7)*Dashboard!$I$36</f>
        <v>504.76485623003236</v>
      </c>
      <c r="D29" t="s">
        <v>14</v>
      </c>
    </row>
    <row r="32" spans="2:7" x14ac:dyDescent="0.2">
      <c r="B32" t="s">
        <v>10</v>
      </c>
      <c r="C32" s="1">
        <f>MAX(0,C28-C29)</f>
        <v>845.23514376996764</v>
      </c>
      <c r="D32" t="s">
        <v>19</v>
      </c>
    </row>
    <row r="33" spans="2:7" x14ac:dyDescent="0.2">
      <c r="B33" t="s">
        <v>18</v>
      </c>
      <c r="C33" s="1">
        <f>C28-C32</f>
        <v>504.76485623003236</v>
      </c>
      <c r="D33" t="s">
        <v>18</v>
      </c>
    </row>
    <row r="35" spans="2:7" x14ac:dyDescent="0.2">
      <c r="C35" s="1">
        <f t="shared" ref="C35:C41" si="4">MIN(F5-C5,0)</f>
        <v>0</v>
      </c>
    </row>
    <row r="36" spans="2:7" x14ac:dyDescent="0.2">
      <c r="C36" s="1">
        <f t="shared" si="4"/>
        <v>0</v>
      </c>
    </row>
    <row r="37" spans="2:7" x14ac:dyDescent="0.2">
      <c r="C37" s="1">
        <f t="shared" si="4"/>
        <v>0</v>
      </c>
    </row>
    <row r="38" spans="2:7" x14ac:dyDescent="0.2">
      <c r="C38" s="1">
        <f t="shared" si="4"/>
        <v>0</v>
      </c>
    </row>
    <row r="39" spans="2:7" x14ac:dyDescent="0.2">
      <c r="C39" s="1">
        <f t="shared" si="4"/>
        <v>-6.9500000000000455</v>
      </c>
    </row>
    <row r="40" spans="2:7" x14ac:dyDescent="0.2">
      <c r="C40" s="1">
        <f t="shared" si="4"/>
        <v>0</v>
      </c>
    </row>
    <row r="41" spans="2:7" x14ac:dyDescent="0.2">
      <c r="C41" s="1">
        <f t="shared" si="4"/>
        <v>0</v>
      </c>
    </row>
    <row r="44" spans="2:7" x14ac:dyDescent="0.2">
      <c r="B44" t="s">
        <v>26</v>
      </c>
      <c r="C44" s="1">
        <f>SUM(C5:C11)*($C$26/7)*(1-Dashboard!$I$36)</f>
        <v>12936</v>
      </c>
      <c r="D44" s="1">
        <f>C44*3/2</f>
        <v>19404</v>
      </c>
      <c r="E44" s="1">
        <f>D44*0.133</f>
        <v>2580.732</v>
      </c>
      <c r="F44" s="1">
        <f>E44/30</f>
        <v>86.0244</v>
      </c>
      <c r="G44" s="7">
        <v>0.13300000000000001</v>
      </c>
    </row>
    <row r="45" spans="2:7" x14ac:dyDescent="0.2">
      <c r="B45" t="s">
        <v>12</v>
      </c>
      <c r="C45" s="1">
        <f>(SUM(C35:C41)*-1)*($C$26/7)*(1-Dashboard!$I$36)</f>
        <v>20.850000000000136</v>
      </c>
    </row>
    <row r="48" spans="2:7" x14ac:dyDescent="0.2">
      <c r="C48" t="s">
        <v>37</v>
      </c>
      <c r="D48" t="s">
        <v>34</v>
      </c>
      <c r="E48" t="s">
        <v>35</v>
      </c>
      <c r="F48" t="s">
        <v>36</v>
      </c>
    </row>
    <row r="49" spans="3:6" x14ac:dyDescent="0.2">
      <c r="C49" s="7">
        <v>1.4999999999999999E-2</v>
      </c>
      <c r="D49" s="8">
        <v>25000</v>
      </c>
      <c r="E49" s="9">
        <f>D49*C49</f>
        <v>375</v>
      </c>
      <c r="F49" s="9">
        <f>E49/30</f>
        <v>12.5</v>
      </c>
    </row>
    <row r="50" spans="3:6" x14ac:dyDescent="0.2">
      <c r="C50" s="3">
        <v>0.05</v>
      </c>
      <c r="D50" s="8">
        <v>25000</v>
      </c>
      <c r="E50" s="9">
        <f t="shared" ref="E50:E52" si="5">D50*C50</f>
        <v>1250</v>
      </c>
      <c r="F50" s="9">
        <f t="shared" ref="F50:F52" si="6">E50/30</f>
        <v>41.666666666666664</v>
      </c>
    </row>
    <row r="51" spans="3:6" x14ac:dyDescent="0.2">
      <c r="C51" s="7">
        <v>0.13300000000000001</v>
      </c>
      <c r="D51" s="8">
        <v>25000</v>
      </c>
      <c r="E51" s="9">
        <f t="shared" si="5"/>
        <v>3325</v>
      </c>
      <c r="F51" s="9">
        <f t="shared" si="6"/>
        <v>110.83333333333333</v>
      </c>
    </row>
    <row r="52" spans="3:6" x14ac:dyDescent="0.2">
      <c r="C52" s="3">
        <v>0.2</v>
      </c>
      <c r="D52" s="8">
        <v>25000</v>
      </c>
      <c r="E52" s="9">
        <f t="shared" si="5"/>
        <v>5000</v>
      </c>
      <c r="F52" s="9">
        <f t="shared" si="6"/>
        <v>166.66666666666666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2CFD-E3CC-7E41-AB13-FEB474937B9C}">
  <dimension ref="A2:R147"/>
  <sheetViews>
    <sheetView topLeftCell="A80" workbookViewId="0">
      <selection activeCell="O123" sqref="O123"/>
    </sheetView>
  </sheetViews>
  <sheetFormatPr baseColWidth="10" defaultRowHeight="16" x14ac:dyDescent="0.2"/>
  <cols>
    <col min="11" max="11" width="14" bestFit="1" customWidth="1"/>
  </cols>
  <sheetData>
    <row r="2" spans="1:15" x14ac:dyDescent="0.2">
      <c r="B2" t="s">
        <v>46</v>
      </c>
      <c r="C2" t="s">
        <v>47</v>
      </c>
    </row>
    <row r="3" spans="1:15" x14ac:dyDescent="0.2">
      <c r="A3" t="s">
        <v>49</v>
      </c>
      <c r="J3" t="s">
        <v>84</v>
      </c>
      <c r="K3" s="23">
        <v>100</v>
      </c>
      <c r="L3" t="s">
        <v>85</v>
      </c>
    </row>
    <row r="4" spans="1:15" x14ac:dyDescent="0.2">
      <c r="A4" t="s">
        <v>48</v>
      </c>
      <c r="B4" t="s">
        <v>45</v>
      </c>
      <c r="J4" t="s">
        <v>76</v>
      </c>
      <c r="K4" s="19">
        <v>0.3</v>
      </c>
    </row>
    <row r="5" spans="1:15" x14ac:dyDescent="0.2"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0</v>
      </c>
      <c r="I5" t="s">
        <v>1</v>
      </c>
      <c r="J5" t="s">
        <v>75</v>
      </c>
      <c r="K5" t="s">
        <v>81</v>
      </c>
      <c r="L5" t="s">
        <v>82</v>
      </c>
      <c r="M5" t="s">
        <v>83</v>
      </c>
    </row>
    <row r="6" spans="1:15" x14ac:dyDescent="0.2">
      <c r="B6" t="s">
        <v>40</v>
      </c>
      <c r="C6" s="18">
        <v>3</v>
      </c>
      <c r="D6" s="18">
        <v>3</v>
      </c>
      <c r="E6" s="18">
        <v>2</v>
      </c>
      <c r="F6" s="18">
        <v>2</v>
      </c>
      <c r="G6" s="18">
        <v>3</v>
      </c>
      <c r="H6" s="18">
        <v>6</v>
      </c>
      <c r="I6" s="18">
        <v>5</v>
      </c>
      <c r="J6" s="18">
        <v>2.5</v>
      </c>
      <c r="K6" s="15">
        <f>SUM(C6:I6)*J6</f>
        <v>60</v>
      </c>
      <c r="L6" s="15">
        <f>K6*(1-$K$4)</f>
        <v>42</v>
      </c>
      <c r="M6" s="15">
        <f>K6-L6</f>
        <v>18</v>
      </c>
      <c r="O6" s="18" t="s">
        <v>79</v>
      </c>
    </row>
    <row r="7" spans="1:15" x14ac:dyDescent="0.2">
      <c r="B7" t="s">
        <v>41</v>
      </c>
      <c r="C7" s="18">
        <v>2</v>
      </c>
      <c r="D7" s="18">
        <v>1</v>
      </c>
      <c r="E7" s="18">
        <v>4</v>
      </c>
      <c r="F7" s="18">
        <v>2</v>
      </c>
      <c r="G7" s="18">
        <v>3</v>
      </c>
      <c r="H7" s="18">
        <v>4</v>
      </c>
      <c r="I7" s="18">
        <v>2</v>
      </c>
      <c r="J7" s="18">
        <v>3.5</v>
      </c>
      <c r="K7" s="15">
        <f t="shared" ref="K7:K9" si="0">SUM(C7:I7)*J7</f>
        <v>63</v>
      </c>
      <c r="L7" s="15">
        <f t="shared" ref="L7:L10" si="1">K7*(1-$K$4)</f>
        <v>44.099999999999994</v>
      </c>
      <c r="M7" s="15">
        <f t="shared" ref="M7:M10" si="2">K7-L7</f>
        <v>18.900000000000006</v>
      </c>
      <c r="O7" s="19" t="s">
        <v>80</v>
      </c>
    </row>
    <row r="8" spans="1:15" x14ac:dyDescent="0.2">
      <c r="B8" t="s">
        <v>42</v>
      </c>
      <c r="C8" s="18">
        <v>4</v>
      </c>
      <c r="D8" s="18">
        <v>4</v>
      </c>
      <c r="E8" s="18">
        <v>2</v>
      </c>
      <c r="F8" s="18">
        <v>2</v>
      </c>
      <c r="G8" s="18">
        <v>1</v>
      </c>
      <c r="H8" s="18">
        <v>1</v>
      </c>
      <c r="I8" s="18">
        <v>2</v>
      </c>
      <c r="J8" s="18">
        <v>3.5</v>
      </c>
      <c r="K8" s="15">
        <f t="shared" si="0"/>
        <v>56</v>
      </c>
      <c r="L8" s="15">
        <f t="shared" si="1"/>
        <v>39.199999999999996</v>
      </c>
      <c r="M8" s="15">
        <f t="shared" si="2"/>
        <v>16.800000000000004</v>
      </c>
    </row>
    <row r="9" spans="1:15" ht="17" thickBot="1" x14ac:dyDescent="0.25">
      <c r="B9" t="s">
        <v>43</v>
      </c>
      <c r="C9" s="18">
        <v>8</v>
      </c>
      <c r="D9" s="18">
        <v>6</v>
      </c>
      <c r="E9" s="18">
        <v>10</v>
      </c>
      <c r="F9" s="18">
        <v>4</v>
      </c>
      <c r="G9" s="18">
        <v>4</v>
      </c>
      <c r="H9" s="18">
        <v>7</v>
      </c>
      <c r="I9" s="18">
        <v>12</v>
      </c>
      <c r="J9" s="18">
        <v>7.5</v>
      </c>
      <c r="K9" s="15">
        <f t="shared" si="0"/>
        <v>382.5</v>
      </c>
      <c r="L9" s="15">
        <f t="shared" si="1"/>
        <v>267.75</v>
      </c>
      <c r="M9" s="15">
        <f t="shared" si="2"/>
        <v>114.75</v>
      </c>
    </row>
    <row r="10" spans="1:15" ht="17" thickBot="1" x14ac:dyDescent="0.25">
      <c r="B10" t="s">
        <v>44</v>
      </c>
      <c r="J10" s="20" t="s">
        <v>21</v>
      </c>
      <c r="K10" s="21">
        <f>SUM(K6:K9)</f>
        <v>561.5</v>
      </c>
      <c r="L10" s="21">
        <f t="shared" si="1"/>
        <v>393.04999999999995</v>
      </c>
      <c r="M10" s="22">
        <f t="shared" si="2"/>
        <v>168.45000000000005</v>
      </c>
    </row>
    <row r="13" spans="1:15" x14ac:dyDescent="0.2">
      <c r="A13" t="s">
        <v>50</v>
      </c>
      <c r="B13" t="s">
        <v>51</v>
      </c>
    </row>
    <row r="14" spans="1:15" x14ac:dyDescent="0.2"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0</v>
      </c>
      <c r="I14" t="s">
        <v>1</v>
      </c>
    </row>
    <row r="15" spans="1:15" x14ac:dyDescent="0.2">
      <c r="B15" t="s">
        <v>40</v>
      </c>
      <c r="C15">
        <v>3</v>
      </c>
      <c r="D15">
        <v>2</v>
      </c>
      <c r="E15">
        <v>2</v>
      </c>
      <c r="F15">
        <v>2</v>
      </c>
      <c r="G15">
        <v>3</v>
      </c>
      <c r="H15">
        <v>5</v>
      </c>
      <c r="I15">
        <v>4</v>
      </c>
    </row>
    <row r="16" spans="1:15" x14ac:dyDescent="0.2">
      <c r="B16" t="s">
        <v>41</v>
      </c>
      <c r="C16">
        <v>2</v>
      </c>
      <c r="D16">
        <v>1</v>
      </c>
      <c r="E16">
        <v>2</v>
      </c>
      <c r="F16">
        <v>2</v>
      </c>
      <c r="G16">
        <v>2</v>
      </c>
      <c r="H16">
        <v>2</v>
      </c>
      <c r="I16">
        <v>2</v>
      </c>
    </row>
    <row r="17" spans="1:10" x14ac:dyDescent="0.2">
      <c r="B17" t="s">
        <v>42</v>
      </c>
      <c r="C17">
        <v>3</v>
      </c>
      <c r="D17">
        <v>3</v>
      </c>
      <c r="E17">
        <v>3</v>
      </c>
      <c r="F17">
        <v>3</v>
      </c>
      <c r="G17">
        <v>2</v>
      </c>
      <c r="H17">
        <v>2</v>
      </c>
      <c r="I17">
        <v>2</v>
      </c>
    </row>
    <row r="18" spans="1:10" x14ac:dyDescent="0.2">
      <c r="B18" t="s">
        <v>43</v>
      </c>
      <c r="C18">
        <v>8</v>
      </c>
      <c r="D18">
        <v>8</v>
      </c>
      <c r="E18">
        <v>8</v>
      </c>
      <c r="F18">
        <v>6</v>
      </c>
      <c r="G18">
        <v>6</v>
      </c>
      <c r="H18">
        <v>6</v>
      </c>
      <c r="I18">
        <v>9</v>
      </c>
    </row>
    <row r="19" spans="1:10" x14ac:dyDescent="0.2">
      <c r="B19" t="s">
        <v>44</v>
      </c>
    </row>
    <row r="22" spans="1:10" x14ac:dyDescent="0.2">
      <c r="A22" t="s">
        <v>52</v>
      </c>
      <c r="B22" t="s">
        <v>53</v>
      </c>
    </row>
    <row r="23" spans="1:10" x14ac:dyDescent="0.2"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0</v>
      </c>
      <c r="I23" t="s">
        <v>1</v>
      </c>
    </row>
    <row r="24" spans="1:10" x14ac:dyDescent="0.2">
      <c r="B24" t="s">
        <v>40</v>
      </c>
      <c r="C24" s="11">
        <f>C15-C6</f>
        <v>0</v>
      </c>
      <c r="D24" s="11">
        <f t="shared" ref="D24:I24" si="3">D15-D6</f>
        <v>-1</v>
      </c>
      <c r="E24" s="11">
        <f t="shared" si="3"/>
        <v>0</v>
      </c>
      <c r="F24" s="11">
        <f t="shared" si="3"/>
        <v>0</v>
      </c>
      <c r="G24" s="11">
        <f t="shared" si="3"/>
        <v>0</v>
      </c>
      <c r="H24" s="11">
        <f t="shared" si="3"/>
        <v>-1</v>
      </c>
      <c r="I24" s="11">
        <f t="shared" si="3"/>
        <v>-1</v>
      </c>
    </row>
    <row r="25" spans="1:10" x14ac:dyDescent="0.2">
      <c r="B25" t="s">
        <v>41</v>
      </c>
      <c r="C25" s="11">
        <f t="shared" ref="C25:I25" si="4">C16-C7</f>
        <v>0</v>
      </c>
      <c r="D25" s="11">
        <f t="shared" si="4"/>
        <v>0</v>
      </c>
      <c r="E25" s="11">
        <f t="shared" si="4"/>
        <v>-2</v>
      </c>
      <c r="F25" s="11">
        <f t="shared" si="4"/>
        <v>0</v>
      </c>
      <c r="G25" s="11">
        <f t="shared" si="4"/>
        <v>-1</v>
      </c>
      <c r="H25" s="11">
        <f t="shared" si="4"/>
        <v>-2</v>
      </c>
      <c r="I25" s="11">
        <f t="shared" si="4"/>
        <v>0</v>
      </c>
    </row>
    <row r="26" spans="1:10" x14ac:dyDescent="0.2">
      <c r="B26" t="s">
        <v>42</v>
      </c>
      <c r="C26" s="11">
        <f t="shared" ref="C26:I26" si="5">C17-C8</f>
        <v>-1</v>
      </c>
      <c r="D26" s="11">
        <f t="shared" si="5"/>
        <v>-1</v>
      </c>
      <c r="E26" s="11">
        <f t="shared" si="5"/>
        <v>1</v>
      </c>
      <c r="F26" s="11">
        <f t="shared" si="5"/>
        <v>1</v>
      </c>
      <c r="G26" s="11">
        <f t="shared" si="5"/>
        <v>1</v>
      </c>
      <c r="H26" s="11">
        <f t="shared" si="5"/>
        <v>1</v>
      </c>
      <c r="I26" s="11">
        <f t="shared" si="5"/>
        <v>0</v>
      </c>
    </row>
    <row r="27" spans="1:10" x14ac:dyDescent="0.2">
      <c r="B27" t="s">
        <v>43</v>
      </c>
      <c r="C27" s="11">
        <f t="shared" ref="C27:I27" si="6">C18-C9</f>
        <v>0</v>
      </c>
      <c r="D27" s="11">
        <f t="shared" si="6"/>
        <v>2</v>
      </c>
      <c r="E27" s="11">
        <f t="shared" si="6"/>
        <v>-2</v>
      </c>
      <c r="F27" s="11">
        <f t="shared" si="6"/>
        <v>2</v>
      </c>
      <c r="G27" s="11">
        <f t="shared" si="6"/>
        <v>2</v>
      </c>
      <c r="H27" s="11">
        <f t="shared" si="6"/>
        <v>-1</v>
      </c>
      <c r="I27" s="11">
        <f t="shared" si="6"/>
        <v>-3</v>
      </c>
    </row>
    <row r="28" spans="1:10" x14ac:dyDescent="0.2">
      <c r="B28" t="s">
        <v>44</v>
      </c>
    </row>
    <row r="31" spans="1:10" x14ac:dyDescent="0.2">
      <c r="A31" t="s">
        <v>54</v>
      </c>
      <c r="B31" t="s">
        <v>55</v>
      </c>
    </row>
    <row r="32" spans="1:10" x14ac:dyDescent="0.2"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0</v>
      </c>
      <c r="I32" t="s">
        <v>1</v>
      </c>
      <c r="J32" t="s">
        <v>56</v>
      </c>
    </row>
    <row r="33" spans="1:10" x14ac:dyDescent="0.2">
      <c r="B33" t="s">
        <v>40</v>
      </c>
      <c r="C33" s="2">
        <f>MAX(C24*-1,0)/C15</f>
        <v>0</v>
      </c>
      <c r="D33" s="2">
        <f>MAX(D24*-1,0)/D15</f>
        <v>0.5</v>
      </c>
      <c r="E33" s="2">
        <f t="shared" ref="E33:I33" si="7">MAX(E24*-1,0)/E15</f>
        <v>0</v>
      </c>
      <c r="F33" s="2">
        <f t="shared" si="7"/>
        <v>0</v>
      </c>
      <c r="G33" s="2">
        <f t="shared" si="7"/>
        <v>0</v>
      </c>
      <c r="H33" s="2">
        <f t="shared" si="7"/>
        <v>0.2</v>
      </c>
      <c r="I33" s="2">
        <f t="shared" si="7"/>
        <v>0.25</v>
      </c>
      <c r="J33" s="2">
        <f>MAX(C33:I33)</f>
        <v>0.5</v>
      </c>
    </row>
    <row r="34" spans="1:10" x14ac:dyDescent="0.2">
      <c r="B34" t="s">
        <v>41</v>
      </c>
      <c r="C34" s="2">
        <f t="shared" ref="C34:I34" si="8">MAX(C25*-1,0)/C16</f>
        <v>0</v>
      </c>
      <c r="D34" s="2">
        <f t="shared" si="8"/>
        <v>0</v>
      </c>
      <c r="E34" s="2">
        <f t="shared" si="8"/>
        <v>1</v>
      </c>
      <c r="F34" s="2">
        <f t="shared" si="8"/>
        <v>0</v>
      </c>
      <c r="G34" s="2">
        <f t="shared" si="8"/>
        <v>0.5</v>
      </c>
      <c r="H34" s="2">
        <f t="shared" si="8"/>
        <v>1</v>
      </c>
      <c r="I34" s="2">
        <f t="shared" si="8"/>
        <v>0</v>
      </c>
      <c r="J34" s="2">
        <f t="shared" ref="J34:J36" si="9">MAX(C34:I34)</f>
        <v>1</v>
      </c>
    </row>
    <row r="35" spans="1:10" x14ac:dyDescent="0.2">
      <c r="B35" t="s">
        <v>42</v>
      </c>
      <c r="C35" s="2">
        <f t="shared" ref="C35:I35" si="10">MAX(C26*-1,0)/C17</f>
        <v>0.33333333333333331</v>
      </c>
      <c r="D35" s="2">
        <f t="shared" si="10"/>
        <v>0.33333333333333331</v>
      </c>
      <c r="E35" s="2">
        <f t="shared" si="10"/>
        <v>0</v>
      </c>
      <c r="F35" s="2">
        <f t="shared" si="10"/>
        <v>0</v>
      </c>
      <c r="G35" s="2">
        <f t="shared" si="10"/>
        <v>0</v>
      </c>
      <c r="H35" s="2">
        <f t="shared" si="10"/>
        <v>0</v>
      </c>
      <c r="I35" s="2">
        <f t="shared" si="10"/>
        <v>0</v>
      </c>
      <c r="J35" s="2">
        <f t="shared" si="9"/>
        <v>0.33333333333333331</v>
      </c>
    </row>
    <row r="36" spans="1:10" x14ac:dyDescent="0.2">
      <c r="B36" t="s">
        <v>43</v>
      </c>
      <c r="C36" s="2">
        <f t="shared" ref="C36:I36" si="11">MAX(C27*-1,0)/C18</f>
        <v>0</v>
      </c>
      <c r="D36" s="2">
        <f t="shared" si="11"/>
        <v>0</v>
      </c>
      <c r="E36" s="2">
        <f t="shared" si="11"/>
        <v>0.25</v>
      </c>
      <c r="F36" s="2">
        <f t="shared" si="11"/>
        <v>0</v>
      </c>
      <c r="G36" s="2">
        <f t="shared" si="11"/>
        <v>0</v>
      </c>
      <c r="H36" s="2">
        <f t="shared" si="11"/>
        <v>0.16666666666666666</v>
      </c>
      <c r="I36" s="2">
        <f t="shared" si="11"/>
        <v>0.33333333333333331</v>
      </c>
      <c r="J36" s="2">
        <f t="shared" si="9"/>
        <v>0.33333333333333331</v>
      </c>
    </row>
    <row r="37" spans="1:10" x14ac:dyDescent="0.2">
      <c r="B37" t="s">
        <v>44</v>
      </c>
    </row>
    <row r="40" spans="1:10" x14ac:dyDescent="0.2">
      <c r="A40" t="s">
        <v>57</v>
      </c>
      <c r="B40" t="s">
        <v>58</v>
      </c>
    </row>
    <row r="41" spans="1:10" x14ac:dyDescent="0.2"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0</v>
      </c>
      <c r="I41" t="s">
        <v>1</v>
      </c>
    </row>
    <row r="42" spans="1:10" x14ac:dyDescent="0.2">
      <c r="B42" t="s">
        <v>40</v>
      </c>
      <c r="C42" s="13">
        <f>C15+(C15*$J33)</f>
        <v>4.5</v>
      </c>
      <c r="D42" s="13">
        <f t="shared" ref="D42:I42" si="12">D15+(D15*$J33)</f>
        <v>3</v>
      </c>
      <c r="E42" s="13">
        <f t="shared" si="12"/>
        <v>3</v>
      </c>
      <c r="F42" s="13">
        <f t="shared" si="12"/>
        <v>3</v>
      </c>
      <c r="G42" s="13">
        <f t="shared" si="12"/>
        <v>4.5</v>
      </c>
      <c r="H42" s="13">
        <f t="shared" si="12"/>
        <v>7.5</v>
      </c>
      <c r="I42" s="13">
        <f t="shared" si="12"/>
        <v>6</v>
      </c>
      <c r="J42" s="2"/>
    </row>
    <row r="43" spans="1:10" x14ac:dyDescent="0.2">
      <c r="B43" t="s">
        <v>41</v>
      </c>
      <c r="C43" s="13">
        <f t="shared" ref="C43:I43" si="13">C16+(C16*$J34)</f>
        <v>4</v>
      </c>
      <c r="D43" s="13">
        <f t="shared" si="13"/>
        <v>2</v>
      </c>
      <c r="E43" s="13">
        <f t="shared" si="13"/>
        <v>4</v>
      </c>
      <c r="F43" s="13">
        <f t="shared" si="13"/>
        <v>4</v>
      </c>
      <c r="G43" s="13">
        <f t="shared" si="13"/>
        <v>4</v>
      </c>
      <c r="H43" s="13">
        <f t="shared" si="13"/>
        <v>4</v>
      </c>
      <c r="I43" s="13">
        <f t="shared" si="13"/>
        <v>4</v>
      </c>
      <c r="J43" s="2"/>
    </row>
    <row r="44" spans="1:10" x14ac:dyDescent="0.2">
      <c r="B44" t="s">
        <v>42</v>
      </c>
      <c r="C44" s="13">
        <f t="shared" ref="C44:I44" si="14">C17+(C17*$J35)</f>
        <v>4</v>
      </c>
      <c r="D44" s="13">
        <f t="shared" si="14"/>
        <v>4</v>
      </c>
      <c r="E44" s="13">
        <f t="shared" si="14"/>
        <v>4</v>
      </c>
      <c r="F44" s="13">
        <f t="shared" si="14"/>
        <v>4</v>
      </c>
      <c r="G44" s="13">
        <f t="shared" si="14"/>
        <v>2.6666666666666665</v>
      </c>
      <c r="H44" s="13">
        <f t="shared" si="14"/>
        <v>2.6666666666666665</v>
      </c>
      <c r="I44" s="13">
        <f t="shared" si="14"/>
        <v>2.6666666666666665</v>
      </c>
      <c r="J44" s="2"/>
    </row>
    <row r="45" spans="1:10" x14ac:dyDescent="0.2">
      <c r="B45" t="s">
        <v>43</v>
      </c>
      <c r="C45" s="13">
        <f t="shared" ref="C45:I45" si="15">C18+(C18*$J36)</f>
        <v>10.666666666666666</v>
      </c>
      <c r="D45" s="13">
        <f t="shared" si="15"/>
        <v>10.666666666666666</v>
      </c>
      <c r="E45" s="13">
        <f t="shared" si="15"/>
        <v>10.666666666666666</v>
      </c>
      <c r="F45" s="13">
        <f t="shared" si="15"/>
        <v>8</v>
      </c>
      <c r="G45" s="13">
        <f t="shared" si="15"/>
        <v>8</v>
      </c>
      <c r="H45" s="13">
        <f t="shared" si="15"/>
        <v>8</v>
      </c>
      <c r="I45" s="13">
        <f t="shared" si="15"/>
        <v>12</v>
      </c>
      <c r="J45" s="2"/>
    </row>
    <row r="46" spans="1:10" x14ac:dyDescent="0.2">
      <c r="B46" t="s">
        <v>44</v>
      </c>
    </row>
    <row r="49" spans="1:10" x14ac:dyDescent="0.2">
      <c r="A49" t="s">
        <v>54</v>
      </c>
      <c r="B49" t="s">
        <v>61</v>
      </c>
    </row>
    <row r="50" spans="1:10" x14ac:dyDescent="0.2"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0</v>
      </c>
      <c r="I50" t="s">
        <v>1</v>
      </c>
      <c r="J50" t="s">
        <v>56</v>
      </c>
    </row>
    <row r="51" spans="1:10" x14ac:dyDescent="0.2">
      <c r="B51" t="s">
        <v>40</v>
      </c>
      <c r="C51" s="2">
        <f>MAX(C24,0)/C15</f>
        <v>0</v>
      </c>
      <c r="D51" s="2">
        <f t="shared" ref="D51:I51" si="16">MAX(D24,0)/D15</f>
        <v>0</v>
      </c>
      <c r="E51" s="2">
        <f t="shared" si="16"/>
        <v>0</v>
      </c>
      <c r="F51" s="2">
        <f t="shared" si="16"/>
        <v>0</v>
      </c>
      <c r="G51" s="2">
        <f t="shared" si="16"/>
        <v>0</v>
      </c>
      <c r="H51" s="2">
        <f t="shared" si="16"/>
        <v>0</v>
      </c>
      <c r="I51" s="2">
        <f t="shared" si="16"/>
        <v>0</v>
      </c>
      <c r="J51" s="2">
        <f>MAX(C51:I51)</f>
        <v>0</v>
      </c>
    </row>
    <row r="52" spans="1:10" x14ac:dyDescent="0.2">
      <c r="B52" t="s">
        <v>41</v>
      </c>
      <c r="C52" s="2">
        <f t="shared" ref="C52:I52" si="17">MAX(C25,0)/C16</f>
        <v>0</v>
      </c>
      <c r="D52" s="2">
        <f t="shared" si="17"/>
        <v>0</v>
      </c>
      <c r="E52" s="2">
        <f t="shared" si="17"/>
        <v>0</v>
      </c>
      <c r="F52" s="2">
        <f t="shared" si="17"/>
        <v>0</v>
      </c>
      <c r="G52" s="2">
        <f t="shared" si="17"/>
        <v>0</v>
      </c>
      <c r="H52" s="2">
        <f t="shared" si="17"/>
        <v>0</v>
      </c>
      <c r="I52" s="2">
        <f t="shared" si="17"/>
        <v>0</v>
      </c>
      <c r="J52" s="2">
        <f t="shared" ref="J52:J54" si="18">MAX(C52:I52)</f>
        <v>0</v>
      </c>
    </row>
    <row r="53" spans="1:10" x14ac:dyDescent="0.2">
      <c r="B53" t="s">
        <v>42</v>
      </c>
      <c r="C53" s="2">
        <f t="shared" ref="C53:I53" si="19">MAX(C26,0)/C17</f>
        <v>0</v>
      </c>
      <c r="D53" s="2">
        <f t="shared" si="19"/>
        <v>0</v>
      </c>
      <c r="E53" s="2">
        <f t="shared" si="19"/>
        <v>0.33333333333333331</v>
      </c>
      <c r="F53" s="2">
        <f t="shared" si="19"/>
        <v>0.33333333333333331</v>
      </c>
      <c r="G53" s="2">
        <f t="shared" si="19"/>
        <v>0.5</v>
      </c>
      <c r="H53" s="2">
        <f t="shared" si="19"/>
        <v>0.5</v>
      </c>
      <c r="I53" s="2">
        <f t="shared" si="19"/>
        <v>0</v>
      </c>
      <c r="J53" s="2">
        <f t="shared" si="18"/>
        <v>0.5</v>
      </c>
    </row>
    <row r="54" spans="1:10" x14ac:dyDescent="0.2">
      <c r="B54" t="s">
        <v>43</v>
      </c>
      <c r="C54" s="2">
        <f t="shared" ref="C54:I54" si="20">MAX(C27,0)/C18</f>
        <v>0</v>
      </c>
      <c r="D54" s="2">
        <f t="shared" si="20"/>
        <v>0.25</v>
      </c>
      <c r="E54" s="2">
        <f t="shared" si="20"/>
        <v>0</v>
      </c>
      <c r="F54" s="2">
        <f t="shared" si="20"/>
        <v>0.33333333333333331</v>
      </c>
      <c r="G54" s="2">
        <f t="shared" si="20"/>
        <v>0.33333333333333331</v>
      </c>
      <c r="H54" s="2">
        <f t="shared" si="20"/>
        <v>0</v>
      </c>
      <c r="I54" s="2">
        <f t="shared" si="20"/>
        <v>0</v>
      </c>
      <c r="J54" s="2">
        <f t="shared" si="18"/>
        <v>0.33333333333333331</v>
      </c>
    </row>
    <row r="59" spans="1:10" x14ac:dyDescent="0.2">
      <c r="A59" t="s">
        <v>59</v>
      </c>
      <c r="B59" t="s">
        <v>60</v>
      </c>
    </row>
    <row r="60" spans="1:10" x14ac:dyDescent="0.2"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0</v>
      </c>
      <c r="I60" t="s">
        <v>1</v>
      </c>
    </row>
    <row r="61" spans="1:10" x14ac:dyDescent="0.2">
      <c r="B61" t="s">
        <v>40</v>
      </c>
      <c r="C61" s="13">
        <f>C15-C15*$J51</f>
        <v>3</v>
      </c>
      <c r="D61" s="13">
        <f t="shared" ref="D61:I61" si="21">D15-D15*$J51</f>
        <v>2</v>
      </c>
      <c r="E61" s="13">
        <f t="shared" si="21"/>
        <v>2</v>
      </c>
      <c r="F61" s="13">
        <f t="shared" si="21"/>
        <v>2</v>
      </c>
      <c r="G61" s="13">
        <f t="shared" si="21"/>
        <v>3</v>
      </c>
      <c r="H61" s="13">
        <f t="shared" si="21"/>
        <v>5</v>
      </c>
      <c r="I61" s="13">
        <f t="shared" si="21"/>
        <v>4</v>
      </c>
    </row>
    <row r="62" spans="1:10" x14ac:dyDescent="0.2">
      <c r="B62" t="s">
        <v>41</v>
      </c>
      <c r="C62" s="13">
        <f t="shared" ref="C62:I62" si="22">C16-C16*$J52</f>
        <v>2</v>
      </c>
      <c r="D62" s="13">
        <f t="shared" si="22"/>
        <v>1</v>
      </c>
      <c r="E62" s="13">
        <f t="shared" si="22"/>
        <v>2</v>
      </c>
      <c r="F62" s="13">
        <f t="shared" si="22"/>
        <v>2</v>
      </c>
      <c r="G62" s="13">
        <f t="shared" si="22"/>
        <v>2</v>
      </c>
      <c r="H62" s="13">
        <f t="shared" si="22"/>
        <v>2</v>
      </c>
      <c r="I62" s="13">
        <f t="shared" si="22"/>
        <v>2</v>
      </c>
    </row>
    <row r="63" spans="1:10" x14ac:dyDescent="0.2">
      <c r="B63" t="s">
        <v>42</v>
      </c>
      <c r="C63" s="13">
        <f t="shared" ref="C63:I63" si="23">C17-C17*$J53</f>
        <v>1.5</v>
      </c>
      <c r="D63" s="13">
        <f t="shared" si="23"/>
        <v>1.5</v>
      </c>
      <c r="E63" s="13">
        <f t="shared" si="23"/>
        <v>1.5</v>
      </c>
      <c r="F63" s="13">
        <f t="shared" si="23"/>
        <v>1.5</v>
      </c>
      <c r="G63" s="13">
        <f t="shared" si="23"/>
        <v>1</v>
      </c>
      <c r="H63" s="13">
        <f t="shared" si="23"/>
        <v>1</v>
      </c>
      <c r="I63" s="13">
        <f t="shared" si="23"/>
        <v>1</v>
      </c>
    </row>
    <row r="64" spans="1:10" x14ac:dyDescent="0.2">
      <c r="B64" t="s">
        <v>43</v>
      </c>
      <c r="C64" s="13">
        <f t="shared" ref="C64:I64" si="24">C18-C18*$J54</f>
        <v>5.3333333333333339</v>
      </c>
      <c r="D64" s="13">
        <f t="shared" si="24"/>
        <v>5.3333333333333339</v>
      </c>
      <c r="E64" s="13">
        <f t="shared" si="24"/>
        <v>5.3333333333333339</v>
      </c>
      <c r="F64" s="13">
        <f t="shared" si="24"/>
        <v>4</v>
      </c>
      <c r="G64" s="13">
        <f t="shared" si="24"/>
        <v>4</v>
      </c>
      <c r="H64" s="13">
        <f t="shared" si="24"/>
        <v>4</v>
      </c>
      <c r="I64" s="13">
        <f t="shared" si="24"/>
        <v>6</v>
      </c>
    </row>
    <row r="65" spans="1:9" x14ac:dyDescent="0.2">
      <c r="B65" t="s">
        <v>44</v>
      </c>
    </row>
    <row r="68" spans="1:9" x14ac:dyDescent="0.2">
      <c r="A68" t="s">
        <v>62</v>
      </c>
      <c r="B68" t="s">
        <v>63</v>
      </c>
    </row>
    <row r="69" spans="1:9" x14ac:dyDescent="0.2">
      <c r="C69" t="s">
        <v>2</v>
      </c>
      <c r="D69" t="s">
        <v>3</v>
      </c>
      <c r="E69" t="s">
        <v>4</v>
      </c>
      <c r="F69" t="s">
        <v>5</v>
      </c>
      <c r="G69" t="s">
        <v>6</v>
      </c>
      <c r="H69" t="s">
        <v>0</v>
      </c>
      <c r="I69" t="s">
        <v>1</v>
      </c>
    </row>
    <row r="70" spans="1:9" x14ac:dyDescent="0.2">
      <c r="B70" t="s">
        <v>40</v>
      </c>
      <c r="C70" s="12">
        <f>C42-C61</f>
        <v>1.5</v>
      </c>
      <c r="D70" s="12">
        <f t="shared" ref="D70:I70" si="25">D42-D61</f>
        <v>1</v>
      </c>
      <c r="E70" s="12">
        <f t="shared" si="25"/>
        <v>1</v>
      </c>
      <c r="F70" s="12">
        <f t="shared" si="25"/>
        <v>1</v>
      </c>
      <c r="G70" s="12">
        <f t="shared" si="25"/>
        <v>1.5</v>
      </c>
      <c r="H70" s="12">
        <f t="shared" si="25"/>
        <v>2.5</v>
      </c>
      <c r="I70" s="12">
        <f t="shared" si="25"/>
        <v>2</v>
      </c>
    </row>
    <row r="71" spans="1:9" x14ac:dyDescent="0.2">
      <c r="B71" t="s">
        <v>41</v>
      </c>
      <c r="C71" s="12">
        <f t="shared" ref="C71:I71" si="26">C43-C62</f>
        <v>2</v>
      </c>
      <c r="D71" s="12">
        <f t="shared" si="26"/>
        <v>1</v>
      </c>
      <c r="E71" s="12">
        <f t="shared" si="26"/>
        <v>2</v>
      </c>
      <c r="F71" s="12">
        <f t="shared" si="26"/>
        <v>2</v>
      </c>
      <c r="G71" s="12">
        <f t="shared" si="26"/>
        <v>2</v>
      </c>
      <c r="H71" s="12">
        <f t="shared" si="26"/>
        <v>2</v>
      </c>
      <c r="I71" s="12">
        <f t="shared" si="26"/>
        <v>2</v>
      </c>
    </row>
    <row r="72" spans="1:9" x14ac:dyDescent="0.2">
      <c r="B72" t="s">
        <v>42</v>
      </c>
      <c r="C72" s="12">
        <f t="shared" ref="C72:I72" si="27">C44-C63</f>
        <v>2.5</v>
      </c>
      <c r="D72" s="12">
        <f t="shared" si="27"/>
        <v>2.5</v>
      </c>
      <c r="E72" s="12">
        <f t="shared" si="27"/>
        <v>2.5</v>
      </c>
      <c r="F72" s="12">
        <f t="shared" si="27"/>
        <v>2.5</v>
      </c>
      <c r="G72" s="12">
        <f t="shared" si="27"/>
        <v>1.6666666666666665</v>
      </c>
      <c r="H72" s="12">
        <f t="shared" si="27"/>
        <v>1.6666666666666665</v>
      </c>
      <c r="I72" s="12">
        <f t="shared" si="27"/>
        <v>1.6666666666666665</v>
      </c>
    </row>
    <row r="73" spans="1:9" x14ac:dyDescent="0.2">
      <c r="B73" t="s">
        <v>43</v>
      </c>
      <c r="C73" s="12">
        <f t="shared" ref="C73:I73" si="28">C45-C64</f>
        <v>5.3333333333333321</v>
      </c>
      <c r="D73" s="12">
        <f t="shared" si="28"/>
        <v>5.3333333333333321</v>
      </c>
      <c r="E73" s="12">
        <f t="shared" si="28"/>
        <v>5.3333333333333321</v>
      </c>
      <c r="F73" s="12">
        <f t="shared" si="28"/>
        <v>4</v>
      </c>
      <c r="G73" s="12">
        <f t="shared" si="28"/>
        <v>4</v>
      </c>
      <c r="H73" s="12">
        <f t="shared" si="28"/>
        <v>4</v>
      </c>
      <c r="I73" s="12">
        <f t="shared" si="28"/>
        <v>6</v>
      </c>
    </row>
    <row r="74" spans="1:9" x14ac:dyDescent="0.2">
      <c r="B74" t="s">
        <v>44</v>
      </c>
      <c r="C74" s="14"/>
      <c r="D74" s="14"/>
      <c r="E74" s="14"/>
      <c r="F74" s="14"/>
      <c r="G74" s="14"/>
      <c r="H74" s="14"/>
      <c r="I74" s="14"/>
    </row>
    <row r="75" spans="1:9" x14ac:dyDescent="0.2">
      <c r="C75" s="14"/>
      <c r="D75" s="14"/>
      <c r="E75" s="14"/>
      <c r="F75" s="14"/>
      <c r="G75" s="14"/>
      <c r="H75" s="14"/>
      <c r="I75" s="14"/>
    </row>
    <row r="76" spans="1:9" x14ac:dyDescent="0.2">
      <c r="A76" t="s">
        <v>62</v>
      </c>
      <c r="B76" t="s">
        <v>64</v>
      </c>
      <c r="C76" s="14"/>
      <c r="D76" s="14"/>
      <c r="E76" s="14"/>
      <c r="F76" s="14"/>
      <c r="G76" s="14"/>
      <c r="H76" s="14"/>
      <c r="I76" s="14"/>
    </row>
    <row r="77" spans="1:9" x14ac:dyDescent="0.2">
      <c r="C77" s="14" t="s">
        <v>2</v>
      </c>
      <c r="D77" s="14" t="s">
        <v>3</v>
      </c>
      <c r="E77" s="14" t="s">
        <v>4</v>
      </c>
      <c r="F77" s="14" t="s">
        <v>5</v>
      </c>
      <c r="G77" s="14" t="s">
        <v>6</v>
      </c>
      <c r="H77" s="14" t="s">
        <v>0</v>
      </c>
      <c r="I77" s="14" t="s">
        <v>1</v>
      </c>
    </row>
    <row r="78" spans="1:9" x14ac:dyDescent="0.2">
      <c r="B78" t="s">
        <v>40</v>
      </c>
      <c r="C78" s="12">
        <f>C70/5</f>
        <v>0.3</v>
      </c>
      <c r="D78" s="12">
        <f t="shared" ref="D78:I78" si="29">D70/5</f>
        <v>0.2</v>
      </c>
      <c r="E78" s="12">
        <f t="shared" si="29"/>
        <v>0.2</v>
      </c>
      <c r="F78" s="12">
        <f t="shared" si="29"/>
        <v>0.2</v>
      </c>
      <c r="G78" s="12">
        <f t="shared" si="29"/>
        <v>0.3</v>
      </c>
      <c r="H78" s="12">
        <f t="shared" si="29"/>
        <v>0.5</v>
      </c>
      <c r="I78" s="12">
        <f t="shared" si="29"/>
        <v>0.4</v>
      </c>
    </row>
    <row r="79" spans="1:9" x14ac:dyDescent="0.2">
      <c r="B79" t="s">
        <v>41</v>
      </c>
      <c r="C79" s="12">
        <f t="shared" ref="C79:I79" si="30">C71/5</f>
        <v>0.4</v>
      </c>
      <c r="D79" s="12">
        <f t="shared" si="30"/>
        <v>0.2</v>
      </c>
      <c r="E79" s="12">
        <f t="shared" si="30"/>
        <v>0.4</v>
      </c>
      <c r="F79" s="12">
        <f t="shared" si="30"/>
        <v>0.4</v>
      </c>
      <c r="G79" s="12">
        <f t="shared" si="30"/>
        <v>0.4</v>
      </c>
      <c r="H79" s="12">
        <f t="shared" si="30"/>
        <v>0.4</v>
      </c>
      <c r="I79" s="12">
        <f t="shared" si="30"/>
        <v>0.4</v>
      </c>
    </row>
    <row r="80" spans="1:9" x14ac:dyDescent="0.2">
      <c r="B80" t="s">
        <v>42</v>
      </c>
      <c r="C80" s="12">
        <f t="shared" ref="C80:I80" si="31">C72/5</f>
        <v>0.5</v>
      </c>
      <c r="D80" s="12">
        <f t="shared" si="31"/>
        <v>0.5</v>
      </c>
      <c r="E80" s="12">
        <f t="shared" si="31"/>
        <v>0.5</v>
      </c>
      <c r="F80" s="12">
        <f t="shared" si="31"/>
        <v>0.5</v>
      </c>
      <c r="G80" s="12">
        <f t="shared" si="31"/>
        <v>0.33333333333333331</v>
      </c>
      <c r="H80" s="12">
        <f t="shared" si="31"/>
        <v>0.33333333333333331</v>
      </c>
      <c r="I80" s="12">
        <f t="shared" si="31"/>
        <v>0.33333333333333331</v>
      </c>
    </row>
    <row r="81" spans="1:17" x14ac:dyDescent="0.2">
      <c r="B81" t="s">
        <v>43</v>
      </c>
      <c r="C81" s="12">
        <f t="shared" ref="C81:I81" si="32">C73/5</f>
        <v>1.0666666666666664</v>
      </c>
      <c r="D81" s="12">
        <f t="shared" si="32"/>
        <v>1.0666666666666664</v>
      </c>
      <c r="E81" s="12">
        <f t="shared" si="32"/>
        <v>1.0666666666666664</v>
      </c>
      <c r="F81" s="12">
        <f t="shared" si="32"/>
        <v>0.8</v>
      </c>
      <c r="G81" s="12">
        <f t="shared" si="32"/>
        <v>0.8</v>
      </c>
      <c r="H81" s="12">
        <f t="shared" si="32"/>
        <v>0.8</v>
      </c>
      <c r="I81" s="12">
        <f t="shared" si="32"/>
        <v>1.2</v>
      </c>
    </row>
    <row r="84" spans="1:17" x14ac:dyDescent="0.2">
      <c r="A84" t="s">
        <v>65</v>
      </c>
      <c r="B84" t="s">
        <v>66</v>
      </c>
    </row>
    <row r="85" spans="1:17" x14ac:dyDescent="0.2">
      <c r="B85" t="s">
        <v>67</v>
      </c>
    </row>
    <row r="86" spans="1:17" x14ac:dyDescent="0.2">
      <c r="C86" t="s">
        <v>2</v>
      </c>
      <c r="D86" t="s">
        <v>3</v>
      </c>
      <c r="E86" t="s">
        <v>4</v>
      </c>
      <c r="F86" t="s">
        <v>5</v>
      </c>
      <c r="G86" t="s">
        <v>6</v>
      </c>
      <c r="H86" t="s">
        <v>0</v>
      </c>
      <c r="I86" t="s">
        <v>1</v>
      </c>
    </row>
    <row r="87" spans="1:17" x14ac:dyDescent="0.2">
      <c r="B87" t="s">
        <v>40</v>
      </c>
      <c r="C87" s="13">
        <f>C61+C78</f>
        <v>3.3</v>
      </c>
      <c r="D87" s="13">
        <f t="shared" ref="D87:I87" si="33">D61+D78</f>
        <v>2.2000000000000002</v>
      </c>
      <c r="E87" s="13">
        <f t="shared" si="33"/>
        <v>2.2000000000000002</v>
      </c>
      <c r="F87" s="13">
        <f t="shared" si="33"/>
        <v>2.2000000000000002</v>
      </c>
      <c r="G87" s="13">
        <f t="shared" si="33"/>
        <v>3.3</v>
      </c>
      <c r="H87" s="13">
        <f t="shared" si="33"/>
        <v>5.5</v>
      </c>
      <c r="I87" s="13">
        <f t="shared" si="33"/>
        <v>4.4000000000000004</v>
      </c>
    </row>
    <row r="88" spans="1:17" x14ac:dyDescent="0.2">
      <c r="B88" t="s">
        <v>41</v>
      </c>
      <c r="C88" s="13">
        <f t="shared" ref="C88:I88" si="34">C62+C79</f>
        <v>2.4</v>
      </c>
      <c r="D88" s="13">
        <f t="shared" si="34"/>
        <v>1.2</v>
      </c>
      <c r="E88" s="13">
        <f t="shared" si="34"/>
        <v>2.4</v>
      </c>
      <c r="F88" s="13">
        <f t="shared" si="34"/>
        <v>2.4</v>
      </c>
      <c r="G88" s="13">
        <f t="shared" si="34"/>
        <v>2.4</v>
      </c>
      <c r="H88" s="13">
        <f t="shared" si="34"/>
        <v>2.4</v>
      </c>
      <c r="I88" s="13">
        <f t="shared" si="34"/>
        <v>2.4</v>
      </c>
    </row>
    <row r="89" spans="1:17" x14ac:dyDescent="0.2">
      <c r="B89" t="s">
        <v>42</v>
      </c>
      <c r="C89" s="13">
        <f t="shared" ref="C89:I89" si="35">C63+C80</f>
        <v>2</v>
      </c>
      <c r="D89" s="13">
        <f t="shared" si="35"/>
        <v>2</v>
      </c>
      <c r="E89" s="13">
        <f t="shared" si="35"/>
        <v>2</v>
      </c>
      <c r="F89" s="13">
        <f t="shared" si="35"/>
        <v>2</v>
      </c>
      <c r="G89" s="13">
        <f t="shared" si="35"/>
        <v>1.3333333333333333</v>
      </c>
      <c r="H89" s="13">
        <f t="shared" si="35"/>
        <v>1.3333333333333333</v>
      </c>
      <c r="I89" s="13">
        <f t="shared" si="35"/>
        <v>1.3333333333333333</v>
      </c>
    </row>
    <row r="90" spans="1:17" x14ac:dyDescent="0.2">
      <c r="B90" t="s">
        <v>43</v>
      </c>
      <c r="C90" s="13">
        <f t="shared" ref="C90:I90" si="36">C64+C81</f>
        <v>6.4</v>
      </c>
      <c r="D90" s="13">
        <f t="shared" si="36"/>
        <v>6.4</v>
      </c>
      <c r="E90" s="13">
        <f t="shared" si="36"/>
        <v>6.4</v>
      </c>
      <c r="F90" s="13">
        <f t="shared" si="36"/>
        <v>4.8</v>
      </c>
      <c r="G90" s="13">
        <f t="shared" si="36"/>
        <v>4.8</v>
      </c>
      <c r="H90" s="13">
        <f t="shared" si="36"/>
        <v>4.8</v>
      </c>
      <c r="I90" s="13">
        <f t="shared" si="36"/>
        <v>7.2</v>
      </c>
    </row>
    <row r="91" spans="1:17" x14ac:dyDescent="0.2">
      <c r="B91" t="s">
        <v>44</v>
      </c>
    </row>
    <row r="94" spans="1:17" x14ac:dyDescent="0.2">
      <c r="B94" t="s">
        <v>68</v>
      </c>
    </row>
    <row r="95" spans="1:17" x14ac:dyDescent="0.2"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0</v>
      </c>
      <c r="I95" t="s">
        <v>1</v>
      </c>
    </row>
    <row r="96" spans="1:17" x14ac:dyDescent="0.2">
      <c r="B96" t="s">
        <v>40</v>
      </c>
      <c r="C96" s="13">
        <f>ROUND(K96,0)</f>
        <v>4</v>
      </c>
      <c r="D96" s="13">
        <f t="shared" ref="D96:D99" si="37">ROUND(L96,0)</f>
        <v>2</v>
      </c>
      <c r="E96" s="13">
        <f t="shared" ref="E96:E99" si="38">ROUND(M96,0)</f>
        <v>2</v>
      </c>
      <c r="F96" s="13">
        <f t="shared" ref="F96:F99" si="39">ROUND(N96,0)</f>
        <v>2</v>
      </c>
      <c r="G96" s="13">
        <f t="shared" ref="G96:G99" si="40">ROUND(O96,0)</f>
        <v>4</v>
      </c>
      <c r="H96" s="13">
        <f t="shared" ref="H96:H99" si="41">ROUND(P96,0)</f>
        <v>6</v>
      </c>
      <c r="I96" s="13">
        <f t="shared" ref="I96:I99" si="42">ROUND(Q96,0)</f>
        <v>5</v>
      </c>
      <c r="K96" s="13">
        <v>3.5999999999999996</v>
      </c>
      <c r="L96" s="13">
        <v>2.4000000000000004</v>
      </c>
      <c r="M96" s="13">
        <v>2.4000000000000004</v>
      </c>
      <c r="N96" s="13">
        <v>2.4000000000000004</v>
      </c>
      <c r="O96" s="13">
        <v>3.5999999999999996</v>
      </c>
      <c r="P96" s="13">
        <v>6</v>
      </c>
      <c r="Q96" s="13">
        <v>4.8000000000000007</v>
      </c>
    </row>
    <row r="97" spans="1:17" x14ac:dyDescent="0.2">
      <c r="B97" t="s">
        <v>41</v>
      </c>
      <c r="C97" s="13">
        <f t="shared" ref="C97:C99" si="43">ROUND(K97,0)</f>
        <v>3</v>
      </c>
      <c r="D97" s="13">
        <f t="shared" si="37"/>
        <v>1</v>
      </c>
      <c r="E97" s="13">
        <f t="shared" si="38"/>
        <v>3</v>
      </c>
      <c r="F97" s="13">
        <f t="shared" si="39"/>
        <v>3</v>
      </c>
      <c r="G97" s="13">
        <f t="shared" si="40"/>
        <v>3</v>
      </c>
      <c r="H97" s="13">
        <f t="shared" si="41"/>
        <v>3</v>
      </c>
      <c r="I97" s="13">
        <f t="shared" si="42"/>
        <v>3</v>
      </c>
      <c r="K97" s="13">
        <v>2.8</v>
      </c>
      <c r="L97" s="13">
        <v>1.4</v>
      </c>
      <c r="M97" s="13">
        <v>2.8</v>
      </c>
      <c r="N97" s="13">
        <v>2.8</v>
      </c>
      <c r="O97" s="13">
        <v>2.8</v>
      </c>
      <c r="P97" s="13">
        <v>2.8</v>
      </c>
      <c r="Q97" s="13">
        <v>2.8</v>
      </c>
    </row>
    <row r="98" spans="1:17" x14ac:dyDescent="0.2">
      <c r="B98" t="s">
        <v>42</v>
      </c>
      <c r="C98" s="13">
        <f t="shared" si="43"/>
        <v>3</v>
      </c>
      <c r="D98" s="13">
        <f t="shared" si="37"/>
        <v>3</v>
      </c>
      <c r="E98" s="13">
        <f t="shared" si="38"/>
        <v>3</v>
      </c>
      <c r="F98" s="13">
        <f t="shared" si="39"/>
        <v>3</v>
      </c>
      <c r="G98" s="13">
        <f t="shared" si="40"/>
        <v>2</v>
      </c>
      <c r="H98" s="13">
        <f t="shared" si="41"/>
        <v>2</v>
      </c>
      <c r="I98" s="13">
        <f t="shared" si="42"/>
        <v>2</v>
      </c>
      <c r="K98" s="13">
        <v>2.5</v>
      </c>
      <c r="L98" s="13">
        <v>2.5</v>
      </c>
      <c r="M98" s="13">
        <v>2.5</v>
      </c>
      <c r="N98" s="13">
        <v>2.5</v>
      </c>
      <c r="O98" s="13">
        <v>1.6666666666666665</v>
      </c>
      <c r="P98" s="13">
        <v>1.6666666666666665</v>
      </c>
      <c r="Q98" s="13">
        <v>1.6666666666666665</v>
      </c>
    </row>
    <row r="99" spans="1:17" x14ac:dyDescent="0.2">
      <c r="B99" t="s">
        <v>43</v>
      </c>
      <c r="C99" s="13">
        <f t="shared" si="43"/>
        <v>7</v>
      </c>
      <c r="D99" s="13">
        <f t="shared" si="37"/>
        <v>7</v>
      </c>
      <c r="E99" s="13">
        <f t="shared" si="38"/>
        <v>7</v>
      </c>
      <c r="F99" s="13">
        <f t="shared" si="39"/>
        <v>6</v>
      </c>
      <c r="G99" s="13">
        <f t="shared" si="40"/>
        <v>6</v>
      </c>
      <c r="H99" s="13">
        <f t="shared" si="41"/>
        <v>6</v>
      </c>
      <c r="I99" s="13">
        <f t="shared" si="42"/>
        <v>8</v>
      </c>
      <c r="K99" s="13">
        <v>7.4666666666666668</v>
      </c>
      <c r="L99" s="13">
        <v>7.4666666666666668</v>
      </c>
      <c r="M99" s="13">
        <v>7.4666666666666668</v>
      </c>
      <c r="N99" s="13">
        <v>5.6</v>
      </c>
      <c r="O99" s="13">
        <v>5.6</v>
      </c>
      <c r="P99" s="13">
        <v>5.6</v>
      </c>
      <c r="Q99" s="13">
        <v>8.4</v>
      </c>
    </row>
    <row r="100" spans="1:17" x14ac:dyDescent="0.2">
      <c r="B100" t="s">
        <v>44</v>
      </c>
    </row>
    <row r="103" spans="1:17" x14ac:dyDescent="0.2">
      <c r="B103" t="s">
        <v>69</v>
      </c>
    </row>
    <row r="104" spans="1:17" x14ac:dyDescent="0.2">
      <c r="C104" t="s">
        <v>2</v>
      </c>
      <c r="D104" t="s">
        <v>3</v>
      </c>
      <c r="E104" t="s">
        <v>4</v>
      </c>
      <c r="F104" t="s">
        <v>5</v>
      </c>
      <c r="G104" t="s">
        <v>6</v>
      </c>
      <c r="H104" t="s">
        <v>0</v>
      </c>
      <c r="I104" t="s">
        <v>1</v>
      </c>
    </row>
    <row r="105" spans="1:17" x14ac:dyDescent="0.2">
      <c r="B105" t="s">
        <v>40</v>
      </c>
      <c r="C105" s="13">
        <f>C96+C78</f>
        <v>4.3</v>
      </c>
      <c r="D105" s="13">
        <f t="shared" ref="D105:I105" si="44">D96+D78</f>
        <v>2.2000000000000002</v>
      </c>
      <c r="E105" s="13">
        <f t="shared" si="44"/>
        <v>2.2000000000000002</v>
      </c>
      <c r="F105" s="13">
        <f t="shared" si="44"/>
        <v>2.2000000000000002</v>
      </c>
      <c r="G105" s="13">
        <f t="shared" si="44"/>
        <v>4.3</v>
      </c>
      <c r="H105" s="13">
        <f t="shared" si="44"/>
        <v>6.5</v>
      </c>
      <c r="I105" s="13">
        <f t="shared" si="44"/>
        <v>5.4</v>
      </c>
    </row>
    <row r="106" spans="1:17" x14ac:dyDescent="0.2">
      <c r="B106" t="s">
        <v>41</v>
      </c>
      <c r="C106" s="13">
        <f t="shared" ref="C106:I106" si="45">C97+C79</f>
        <v>3.4</v>
      </c>
      <c r="D106" s="13">
        <f t="shared" si="45"/>
        <v>1.2</v>
      </c>
      <c r="E106" s="13">
        <f t="shared" si="45"/>
        <v>3.4</v>
      </c>
      <c r="F106" s="13">
        <f t="shared" si="45"/>
        <v>3.4</v>
      </c>
      <c r="G106" s="13">
        <f t="shared" si="45"/>
        <v>3.4</v>
      </c>
      <c r="H106" s="13">
        <f t="shared" si="45"/>
        <v>3.4</v>
      </c>
      <c r="I106" s="13">
        <f t="shared" si="45"/>
        <v>3.4</v>
      </c>
    </row>
    <row r="107" spans="1:17" x14ac:dyDescent="0.2">
      <c r="B107" t="s">
        <v>42</v>
      </c>
      <c r="C107" s="13">
        <f t="shared" ref="C107:I107" si="46">C98+C80</f>
        <v>3.5</v>
      </c>
      <c r="D107" s="13">
        <f t="shared" si="46"/>
        <v>3.5</v>
      </c>
      <c r="E107" s="13">
        <f t="shared" si="46"/>
        <v>3.5</v>
      </c>
      <c r="F107" s="13">
        <f t="shared" si="46"/>
        <v>3.5</v>
      </c>
      <c r="G107" s="13">
        <f t="shared" si="46"/>
        <v>2.3333333333333335</v>
      </c>
      <c r="H107" s="13">
        <f t="shared" si="46"/>
        <v>2.3333333333333335</v>
      </c>
      <c r="I107" s="13">
        <f t="shared" si="46"/>
        <v>2.3333333333333335</v>
      </c>
    </row>
    <row r="108" spans="1:17" x14ac:dyDescent="0.2">
      <c r="B108" t="s">
        <v>43</v>
      </c>
      <c r="C108" s="13">
        <f t="shared" ref="C108:I108" si="47">C99+C81</f>
        <v>8.0666666666666664</v>
      </c>
      <c r="D108" s="13">
        <f t="shared" si="47"/>
        <v>8.0666666666666664</v>
      </c>
      <c r="E108" s="13">
        <f t="shared" si="47"/>
        <v>8.0666666666666664</v>
      </c>
      <c r="F108" s="13">
        <f t="shared" si="47"/>
        <v>6.8</v>
      </c>
      <c r="G108" s="13">
        <f t="shared" si="47"/>
        <v>6.8</v>
      </c>
      <c r="H108" s="13">
        <f t="shared" si="47"/>
        <v>6.8</v>
      </c>
      <c r="I108" s="13">
        <f t="shared" si="47"/>
        <v>9.1999999999999993</v>
      </c>
    </row>
    <row r="109" spans="1:17" x14ac:dyDescent="0.2">
      <c r="B109" t="s">
        <v>44</v>
      </c>
    </row>
    <row r="112" spans="1:17" x14ac:dyDescent="0.2">
      <c r="A112" t="s">
        <v>70</v>
      </c>
      <c r="B112" t="s">
        <v>71</v>
      </c>
      <c r="M112" t="s">
        <v>85</v>
      </c>
      <c r="N112" t="s">
        <v>86</v>
      </c>
    </row>
    <row r="113" spans="2:18" x14ac:dyDescent="0.2">
      <c r="B113" t="s">
        <v>72</v>
      </c>
      <c r="L113" t="s">
        <v>84</v>
      </c>
      <c r="M113" s="23">
        <v>150</v>
      </c>
      <c r="N113" s="24">
        <f>M113*M114</f>
        <v>45</v>
      </c>
    </row>
    <row r="114" spans="2:18" x14ac:dyDescent="0.2">
      <c r="B114" t="s">
        <v>53</v>
      </c>
      <c r="L114" t="s">
        <v>76</v>
      </c>
      <c r="M114" s="19">
        <v>0.3</v>
      </c>
    </row>
    <row r="115" spans="2:18" x14ac:dyDescent="0.2">
      <c r="C115" t="s">
        <v>2</v>
      </c>
      <c r="D115" t="s">
        <v>3</v>
      </c>
      <c r="E115" t="s">
        <v>4</v>
      </c>
      <c r="F115" t="s">
        <v>5</v>
      </c>
      <c r="G115" t="s">
        <v>6</v>
      </c>
      <c r="H115" t="s">
        <v>0</v>
      </c>
      <c r="I115" t="s">
        <v>1</v>
      </c>
      <c r="J115" t="s">
        <v>73</v>
      </c>
      <c r="K115" t="s">
        <v>74</v>
      </c>
      <c r="L115" t="s">
        <v>75</v>
      </c>
      <c r="M115" t="s">
        <v>77</v>
      </c>
      <c r="N115" t="s">
        <v>78</v>
      </c>
    </row>
    <row r="116" spans="2:18" x14ac:dyDescent="0.2">
      <c r="B116" t="s">
        <v>40</v>
      </c>
      <c r="C116" s="13">
        <f>C96-C6</f>
        <v>1</v>
      </c>
      <c r="D116" s="13">
        <f t="shared" ref="D116:I116" si="48">D96-D6</f>
        <v>-1</v>
      </c>
      <c r="E116" s="13">
        <f t="shared" si="48"/>
        <v>0</v>
      </c>
      <c r="F116" s="13">
        <f t="shared" si="48"/>
        <v>0</v>
      </c>
      <c r="G116" s="13">
        <f t="shared" si="48"/>
        <v>1</v>
      </c>
      <c r="H116" s="13">
        <f t="shared" si="48"/>
        <v>0</v>
      </c>
      <c r="I116" s="13">
        <f t="shared" si="48"/>
        <v>0</v>
      </c>
      <c r="J116" s="13">
        <f>SUMIF(C116:I116,"&gt;0")</f>
        <v>2</v>
      </c>
      <c r="K116" s="13">
        <f>SUMIF(C116:I116,"&lt;0")</f>
        <v>-1</v>
      </c>
      <c r="L116" s="18">
        <v>2.5</v>
      </c>
      <c r="M116" s="16">
        <f>(L116*$M$114)*J116</f>
        <v>1.5</v>
      </c>
      <c r="N116" s="16">
        <f>(1-$M$114)*K116*-1</f>
        <v>0.7</v>
      </c>
    </row>
    <row r="117" spans="2:18" x14ac:dyDescent="0.2">
      <c r="B117" t="s">
        <v>41</v>
      </c>
      <c r="C117" s="13">
        <f t="shared" ref="C117:I117" si="49">C97-C7</f>
        <v>1</v>
      </c>
      <c r="D117" s="13">
        <f t="shared" si="49"/>
        <v>0</v>
      </c>
      <c r="E117" s="13">
        <f t="shared" si="49"/>
        <v>-1</v>
      </c>
      <c r="F117" s="13">
        <f t="shared" si="49"/>
        <v>1</v>
      </c>
      <c r="G117" s="13">
        <f t="shared" si="49"/>
        <v>0</v>
      </c>
      <c r="H117" s="13">
        <f t="shared" si="49"/>
        <v>-1</v>
      </c>
      <c r="I117" s="13">
        <f t="shared" si="49"/>
        <v>1</v>
      </c>
      <c r="J117" s="13">
        <f t="shared" ref="J117:J119" si="50">SUMIF(C117:I117,"&gt;0")</f>
        <v>3</v>
      </c>
      <c r="K117" s="13">
        <f t="shared" ref="K117:K119" si="51">SUMIF(C117:I117,"&lt;0")</f>
        <v>-2</v>
      </c>
      <c r="L117" s="18">
        <v>3.5</v>
      </c>
      <c r="M117" s="16">
        <f t="shared" ref="M117:M119" si="52">(L117*$M$114)*J117</f>
        <v>3.1500000000000004</v>
      </c>
      <c r="N117" s="16">
        <f t="shared" ref="N117:N119" si="53">(1-$M$114)*K117*-1</f>
        <v>1.4</v>
      </c>
    </row>
    <row r="118" spans="2:18" x14ac:dyDescent="0.2">
      <c r="B118" t="s">
        <v>42</v>
      </c>
      <c r="C118" s="13">
        <f t="shared" ref="C118:I118" si="54">C98-C8</f>
        <v>-1</v>
      </c>
      <c r="D118" s="13">
        <f t="shared" si="54"/>
        <v>-1</v>
      </c>
      <c r="E118" s="13">
        <f t="shared" si="54"/>
        <v>1</v>
      </c>
      <c r="F118" s="13">
        <f t="shared" si="54"/>
        <v>1</v>
      </c>
      <c r="G118" s="13">
        <f t="shared" si="54"/>
        <v>1</v>
      </c>
      <c r="H118" s="13">
        <f t="shared" si="54"/>
        <v>1</v>
      </c>
      <c r="I118" s="13">
        <f t="shared" si="54"/>
        <v>0</v>
      </c>
      <c r="J118" s="13">
        <f t="shared" si="50"/>
        <v>4</v>
      </c>
      <c r="K118" s="13">
        <f t="shared" si="51"/>
        <v>-2</v>
      </c>
      <c r="L118" s="18">
        <v>3.5</v>
      </c>
      <c r="M118" s="16">
        <f>(L118*$M$114)*J118</f>
        <v>4.2</v>
      </c>
      <c r="N118" s="16">
        <f t="shared" si="53"/>
        <v>1.4</v>
      </c>
    </row>
    <row r="119" spans="2:18" x14ac:dyDescent="0.2">
      <c r="B119" t="s">
        <v>43</v>
      </c>
      <c r="C119" s="13">
        <f t="shared" ref="C119:I119" si="55">C99-C9</f>
        <v>-1</v>
      </c>
      <c r="D119" s="13">
        <f t="shared" si="55"/>
        <v>1</v>
      </c>
      <c r="E119" s="13">
        <f t="shared" si="55"/>
        <v>-3</v>
      </c>
      <c r="F119" s="13">
        <f t="shared" si="55"/>
        <v>2</v>
      </c>
      <c r="G119" s="13">
        <f t="shared" si="55"/>
        <v>2</v>
      </c>
      <c r="H119" s="13">
        <f t="shared" si="55"/>
        <v>-1</v>
      </c>
      <c r="I119" s="13">
        <f t="shared" si="55"/>
        <v>-4</v>
      </c>
      <c r="J119" s="13">
        <f t="shared" si="50"/>
        <v>5</v>
      </c>
      <c r="K119" s="13">
        <f t="shared" si="51"/>
        <v>-9</v>
      </c>
      <c r="L119" s="18">
        <v>7.5</v>
      </c>
      <c r="M119" s="16">
        <f t="shared" si="52"/>
        <v>11.25</v>
      </c>
      <c r="N119" s="16">
        <f t="shared" si="53"/>
        <v>6.3</v>
      </c>
    </row>
    <row r="120" spans="2:18" x14ac:dyDescent="0.2">
      <c r="B120" t="s">
        <v>44</v>
      </c>
      <c r="L120" t="s">
        <v>21</v>
      </c>
      <c r="M120" s="17">
        <f>SUM(M116:M119)</f>
        <v>20.100000000000001</v>
      </c>
      <c r="N120" s="17">
        <f>SUM(N116:N119)</f>
        <v>9.7999999999999989</v>
      </c>
    </row>
    <row r="121" spans="2:18" ht="17" thickBot="1" x14ac:dyDescent="0.25"/>
    <row r="122" spans="2:18" x14ac:dyDescent="0.2">
      <c r="K122" t="s">
        <v>92</v>
      </c>
      <c r="L122" s="25" t="s">
        <v>87</v>
      </c>
      <c r="M122" s="26"/>
      <c r="N122" s="27">
        <f>N113-M120</f>
        <v>24.9</v>
      </c>
      <c r="O122" s="28">
        <f>M120</f>
        <v>20.100000000000001</v>
      </c>
      <c r="P122" s="26" t="s">
        <v>90</v>
      </c>
      <c r="Q122" s="29"/>
      <c r="R122" t="s">
        <v>93</v>
      </c>
    </row>
    <row r="123" spans="2:18" x14ac:dyDescent="0.2">
      <c r="L123" s="30" t="s">
        <v>88</v>
      </c>
      <c r="M123" s="4"/>
      <c r="N123" s="31">
        <f>N120*-1</f>
        <v>-9.7999999999999989</v>
      </c>
      <c r="O123" s="31">
        <f>L10+N123</f>
        <v>383.24999999999994</v>
      </c>
      <c r="P123" s="4" t="s">
        <v>91</v>
      </c>
      <c r="Q123" s="32"/>
    </row>
    <row r="124" spans="2:18" x14ac:dyDescent="0.2">
      <c r="C124" t="s">
        <v>95</v>
      </c>
      <c r="L124" s="30"/>
      <c r="M124" s="4"/>
      <c r="N124" s="4"/>
      <c r="O124" s="4"/>
      <c r="P124" s="4"/>
      <c r="Q124" s="32"/>
    </row>
    <row r="125" spans="2:18" ht="17" thickBot="1" x14ac:dyDescent="0.25">
      <c r="C125" s="37" t="s">
        <v>96</v>
      </c>
      <c r="L125" s="33" t="s">
        <v>89</v>
      </c>
      <c r="M125" s="34"/>
      <c r="N125" s="35">
        <f>N122+N123</f>
        <v>15.1</v>
      </c>
      <c r="O125" s="34"/>
      <c r="P125" s="34"/>
      <c r="Q125" s="36"/>
    </row>
    <row r="126" spans="2:18" x14ac:dyDescent="0.2">
      <c r="C126" s="37" t="s">
        <v>97</v>
      </c>
    </row>
    <row r="127" spans="2:18" ht="17" thickBot="1" x14ac:dyDescent="0.25">
      <c r="C127" s="37" t="s">
        <v>98</v>
      </c>
    </row>
    <row r="128" spans="2:18" x14ac:dyDescent="0.2">
      <c r="C128" s="37" t="s">
        <v>99</v>
      </c>
      <c r="L128" s="25" t="s">
        <v>87</v>
      </c>
      <c r="M128" s="26"/>
      <c r="N128" s="27">
        <f>N122*$R$129</f>
        <v>107.89999999999999</v>
      </c>
      <c r="O128" s="93">
        <f t="shared" ref="O128:O129" si="56">O122*$R$129</f>
        <v>87.1</v>
      </c>
      <c r="P128" s="26" t="s">
        <v>90</v>
      </c>
      <c r="Q128" s="29"/>
      <c r="R128" t="s">
        <v>94</v>
      </c>
    </row>
    <row r="129" spans="3:18" x14ac:dyDescent="0.2">
      <c r="C129" s="37" t="s">
        <v>100</v>
      </c>
      <c r="L129" s="30" t="s">
        <v>88</v>
      </c>
      <c r="M129" s="4"/>
      <c r="N129" s="94">
        <f t="shared" ref="N129" si="57">N123*$R$129</f>
        <v>-42.466666666666661</v>
      </c>
      <c r="O129" s="31">
        <f t="shared" si="56"/>
        <v>1660.7499999999995</v>
      </c>
      <c r="P129" s="4" t="s">
        <v>91</v>
      </c>
      <c r="Q129" s="32"/>
      <c r="R129">
        <f>4+(1/3)</f>
        <v>4.333333333333333</v>
      </c>
    </row>
    <row r="130" spans="3:18" x14ac:dyDescent="0.2">
      <c r="L130" s="30"/>
      <c r="M130" s="4"/>
      <c r="N130" s="4"/>
      <c r="O130" s="4"/>
      <c r="P130" s="4"/>
      <c r="Q130" s="32"/>
    </row>
    <row r="131" spans="3:18" ht="17" thickBot="1" x14ac:dyDescent="0.25">
      <c r="L131" s="33" t="s">
        <v>89</v>
      </c>
      <c r="M131" s="34"/>
      <c r="N131" s="35">
        <f>N125*$R$129</f>
        <v>65.433333333333323</v>
      </c>
      <c r="O131" s="34"/>
      <c r="P131" s="34"/>
      <c r="Q131" s="36"/>
    </row>
    <row r="134" spans="3:18" x14ac:dyDescent="0.2">
      <c r="C134" t="s">
        <v>101</v>
      </c>
    </row>
    <row r="135" spans="3:18" x14ac:dyDescent="0.2">
      <c r="C135" t="s">
        <v>102</v>
      </c>
    </row>
    <row r="136" spans="3:18" x14ac:dyDescent="0.2">
      <c r="C136" t="s">
        <v>103</v>
      </c>
    </row>
    <row r="137" spans="3:18" x14ac:dyDescent="0.2">
      <c r="C137" t="s">
        <v>106</v>
      </c>
    </row>
    <row r="138" spans="3:18" x14ac:dyDescent="0.2">
      <c r="C138" t="s">
        <v>104</v>
      </c>
    </row>
    <row r="139" spans="3:18" x14ac:dyDescent="0.2">
      <c r="C139" t="s">
        <v>105</v>
      </c>
    </row>
    <row r="141" spans="3:18" x14ac:dyDescent="0.2">
      <c r="C141" t="s">
        <v>109</v>
      </c>
    </row>
    <row r="142" spans="3:18" x14ac:dyDescent="0.2">
      <c r="C142" t="s">
        <v>107</v>
      </c>
    </row>
    <row r="144" spans="3:18" x14ac:dyDescent="0.2">
      <c r="C144" t="s">
        <v>108</v>
      </c>
    </row>
    <row r="145" spans="3:3" x14ac:dyDescent="0.2">
      <c r="C145" t="s">
        <v>110</v>
      </c>
    </row>
    <row r="147" spans="3:3" x14ac:dyDescent="0.2">
      <c r="C147" t="s">
        <v>111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Dashboard</vt:lpstr>
      <vt:lpstr>Rechnung</vt:lpstr>
      <vt:lpstr>Pseudo-Code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Krauss</dc:creator>
  <cp:lastModifiedBy>Jonas Krauss</cp:lastModifiedBy>
  <dcterms:created xsi:type="dcterms:W3CDTF">2021-08-31T03:48:25Z</dcterms:created>
  <dcterms:modified xsi:type="dcterms:W3CDTF">2022-01-31T05:07:17Z</dcterms:modified>
</cp:coreProperties>
</file>