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personal\games\workersandresources\workers-and-resources-insane-mode\"/>
    </mc:Choice>
  </mc:AlternateContent>
  <xr:revisionPtr revIDLastSave="0" documentId="13_ncr:1_{67630D46-1D7C-468C-8100-56A48F90BEF9}" xr6:coauthVersionLast="43" xr6:coauthVersionMax="43" xr10:uidLastSave="{00000000-0000-0000-0000-000000000000}"/>
  <bookViews>
    <workbookView xWindow="-120" yWindow="-120" windowWidth="29040" windowHeight="15840" xr2:uid="{B5883943-4FA7-4C31-ABD9-F72C92AB45FA}"/>
  </bookViews>
  <sheets>
    <sheet name="Cust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J58" i="1"/>
  <c r="H57" i="1"/>
  <c r="E57" i="1"/>
  <c r="D57" i="1"/>
  <c r="C57" i="1"/>
  <c r="H55" i="1"/>
  <c r="G55" i="1"/>
  <c r="E55" i="1"/>
  <c r="D55" i="1"/>
  <c r="C55" i="1"/>
  <c r="B55" i="1"/>
  <c r="D58" i="1" l="1"/>
  <c r="E58" i="1"/>
  <c r="H58" i="1"/>
  <c r="C58" i="1"/>
  <c r="J35" i="1"/>
  <c r="J33" i="1"/>
  <c r="J30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8" i="1"/>
  <c r="J7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C67" i="1" s="1"/>
  <c r="U57" i="1"/>
  <c r="D72" i="1" s="1"/>
  <c r="U56" i="1"/>
  <c r="U55" i="1"/>
  <c r="U54" i="1"/>
  <c r="D162" i="1" s="1"/>
  <c r="U53" i="1"/>
  <c r="U52" i="1"/>
  <c r="D152" i="1" s="1"/>
  <c r="U51" i="1"/>
  <c r="U50" i="1"/>
  <c r="U49" i="1"/>
  <c r="U48" i="1"/>
  <c r="C147" i="1" s="1"/>
  <c r="U47" i="1"/>
  <c r="U46" i="1"/>
  <c r="U45" i="1"/>
  <c r="E157" i="1" s="1"/>
  <c r="T45" i="1"/>
  <c r="G92" i="1" s="1"/>
  <c r="T74" i="1"/>
  <c r="G182" i="1" s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G52" i="1" s="1"/>
  <c r="T59" i="1"/>
  <c r="H122" i="1" s="1"/>
  <c r="T58" i="1"/>
  <c r="T57" i="1"/>
  <c r="G67" i="1" s="1"/>
  <c r="T56" i="1"/>
  <c r="T55" i="1"/>
  <c r="T54" i="1"/>
  <c r="T53" i="1"/>
  <c r="T52" i="1"/>
  <c r="T51" i="1"/>
  <c r="T50" i="1"/>
  <c r="T49" i="1"/>
  <c r="T48" i="1"/>
  <c r="T47" i="1"/>
  <c r="T46" i="1"/>
  <c r="G95" i="1"/>
  <c r="H185" i="1"/>
  <c r="G185" i="1"/>
  <c r="E185" i="1"/>
  <c r="D185" i="1"/>
  <c r="C185" i="1"/>
  <c r="B185" i="1"/>
  <c r="J188" i="1"/>
  <c r="H187" i="1"/>
  <c r="E187" i="1"/>
  <c r="J183" i="1"/>
  <c r="J178" i="1"/>
  <c r="J173" i="1"/>
  <c r="J168" i="1"/>
  <c r="J163" i="1"/>
  <c r="J158" i="1"/>
  <c r="J153" i="1"/>
  <c r="J148" i="1"/>
  <c r="J143" i="1"/>
  <c r="J138" i="1"/>
  <c r="J133" i="1"/>
  <c r="J128" i="1"/>
  <c r="J123" i="1"/>
  <c r="J118" i="1"/>
  <c r="J113" i="1"/>
  <c r="J108" i="1"/>
  <c r="J103" i="1"/>
  <c r="J98" i="1"/>
  <c r="J93" i="1"/>
  <c r="J88" i="1"/>
  <c r="J83" i="1"/>
  <c r="J78" i="1"/>
  <c r="J73" i="1"/>
  <c r="J68" i="1"/>
  <c r="J63" i="1"/>
  <c r="J53" i="1"/>
  <c r="J48" i="1"/>
  <c r="H45" i="1"/>
  <c r="E45" i="1"/>
  <c r="D45" i="1"/>
  <c r="C45" i="1"/>
  <c r="B45" i="1"/>
  <c r="H50" i="1"/>
  <c r="G50" i="1"/>
  <c r="E50" i="1"/>
  <c r="D50" i="1"/>
  <c r="C50" i="1"/>
  <c r="B50" i="1"/>
  <c r="H60" i="1"/>
  <c r="E60" i="1"/>
  <c r="D60" i="1"/>
  <c r="C60" i="1"/>
  <c r="B60" i="1"/>
  <c r="H180" i="1"/>
  <c r="G180" i="1"/>
  <c r="E180" i="1"/>
  <c r="D180" i="1"/>
  <c r="C180" i="1"/>
  <c r="B180" i="1"/>
  <c r="H175" i="1"/>
  <c r="G175" i="1"/>
  <c r="E175" i="1"/>
  <c r="D175" i="1"/>
  <c r="C175" i="1"/>
  <c r="B175" i="1"/>
  <c r="H170" i="1"/>
  <c r="G170" i="1"/>
  <c r="E170" i="1"/>
  <c r="D170" i="1"/>
  <c r="C170" i="1"/>
  <c r="B170" i="1"/>
  <c r="H165" i="1"/>
  <c r="G165" i="1"/>
  <c r="E165" i="1"/>
  <c r="D165" i="1"/>
  <c r="C165" i="1"/>
  <c r="B165" i="1"/>
  <c r="H160" i="1"/>
  <c r="G160" i="1"/>
  <c r="E160" i="1"/>
  <c r="D160" i="1"/>
  <c r="C160" i="1"/>
  <c r="B160" i="1"/>
  <c r="H155" i="1"/>
  <c r="G155" i="1"/>
  <c r="E155" i="1"/>
  <c r="D155" i="1"/>
  <c r="C155" i="1"/>
  <c r="B155" i="1"/>
  <c r="H150" i="1"/>
  <c r="G150" i="1"/>
  <c r="E150" i="1"/>
  <c r="D150" i="1"/>
  <c r="C150" i="1"/>
  <c r="B150" i="1"/>
  <c r="H145" i="1"/>
  <c r="G145" i="1"/>
  <c r="E145" i="1"/>
  <c r="D145" i="1"/>
  <c r="C145" i="1"/>
  <c r="B145" i="1"/>
  <c r="H140" i="1"/>
  <c r="G140" i="1"/>
  <c r="E140" i="1"/>
  <c r="D140" i="1"/>
  <c r="C140" i="1"/>
  <c r="B140" i="1"/>
  <c r="H135" i="1"/>
  <c r="G135" i="1"/>
  <c r="E135" i="1"/>
  <c r="D135" i="1"/>
  <c r="C135" i="1"/>
  <c r="B135" i="1"/>
  <c r="H130" i="1"/>
  <c r="G130" i="1"/>
  <c r="E130" i="1"/>
  <c r="D130" i="1"/>
  <c r="C130" i="1"/>
  <c r="B130" i="1"/>
  <c r="H125" i="1"/>
  <c r="G125" i="1"/>
  <c r="E125" i="1"/>
  <c r="D125" i="1"/>
  <c r="C125" i="1"/>
  <c r="B125" i="1"/>
  <c r="H120" i="1"/>
  <c r="G120" i="1"/>
  <c r="E120" i="1"/>
  <c r="D120" i="1"/>
  <c r="C120" i="1"/>
  <c r="B120" i="1"/>
  <c r="H115" i="1"/>
  <c r="G115" i="1"/>
  <c r="E115" i="1"/>
  <c r="D115" i="1"/>
  <c r="C115" i="1"/>
  <c r="B115" i="1"/>
  <c r="H110" i="1"/>
  <c r="G110" i="1"/>
  <c r="E110" i="1"/>
  <c r="D110" i="1"/>
  <c r="C110" i="1"/>
  <c r="B110" i="1"/>
  <c r="H105" i="1"/>
  <c r="G105" i="1"/>
  <c r="E105" i="1"/>
  <c r="D105" i="1"/>
  <c r="C105" i="1"/>
  <c r="B105" i="1"/>
  <c r="H100" i="1"/>
  <c r="G100" i="1"/>
  <c r="E100" i="1"/>
  <c r="D100" i="1"/>
  <c r="C100" i="1"/>
  <c r="B100" i="1"/>
  <c r="H95" i="1"/>
  <c r="E95" i="1"/>
  <c r="D95" i="1"/>
  <c r="C95" i="1"/>
  <c r="B95" i="1"/>
  <c r="H90" i="1"/>
  <c r="G90" i="1"/>
  <c r="E90" i="1"/>
  <c r="D90" i="1"/>
  <c r="C90" i="1"/>
  <c r="B90" i="1"/>
  <c r="H85" i="1"/>
  <c r="G85" i="1"/>
  <c r="E85" i="1"/>
  <c r="D85" i="1"/>
  <c r="C85" i="1"/>
  <c r="B85" i="1"/>
  <c r="H80" i="1"/>
  <c r="G80" i="1"/>
  <c r="E80" i="1"/>
  <c r="D80" i="1"/>
  <c r="C80" i="1"/>
  <c r="B80" i="1"/>
  <c r="H75" i="1"/>
  <c r="E75" i="1"/>
  <c r="D75" i="1"/>
  <c r="C75" i="1"/>
  <c r="B75" i="1"/>
  <c r="H70" i="1"/>
  <c r="G70" i="1"/>
  <c r="E70" i="1"/>
  <c r="D70" i="1"/>
  <c r="C70" i="1"/>
  <c r="B70" i="1"/>
  <c r="H65" i="1"/>
  <c r="G65" i="1"/>
  <c r="E65" i="1"/>
  <c r="D65" i="1"/>
  <c r="C65" i="1"/>
  <c r="B65" i="1"/>
  <c r="G75" i="1"/>
  <c r="G60" i="1"/>
  <c r="G45" i="1"/>
  <c r="H182" i="1"/>
  <c r="H177" i="1"/>
  <c r="E177" i="1"/>
  <c r="D177" i="1"/>
  <c r="H172" i="1"/>
  <c r="H167" i="1"/>
  <c r="E167" i="1"/>
  <c r="D167" i="1"/>
  <c r="H162" i="1"/>
  <c r="E162" i="1"/>
  <c r="H157" i="1"/>
  <c r="H152" i="1"/>
  <c r="H147" i="1"/>
  <c r="E147" i="1"/>
  <c r="H142" i="1"/>
  <c r="E142" i="1"/>
  <c r="D142" i="1"/>
  <c r="H137" i="1"/>
  <c r="E137" i="1"/>
  <c r="D137" i="1"/>
  <c r="H132" i="1"/>
  <c r="E132" i="1"/>
  <c r="D132" i="1"/>
  <c r="H127" i="1"/>
  <c r="E122" i="1"/>
  <c r="H117" i="1"/>
  <c r="E117" i="1"/>
  <c r="D117" i="1"/>
  <c r="H112" i="1"/>
  <c r="H107" i="1"/>
  <c r="H102" i="1"/>
  <c r="E102" i="1"/>
  <c r="H97" i="1"/>
  <c r="E97" i="1"/>
  <c r="D97" i="1"/>
  <c r="C97" i="1"/>
  <c r="H92" i="1"/>
  <c r="E92" i="1"/>
  <c r="D92" i="1"/>
  <c r="H87" i="1"/>
  <c r="E87" i="1"/>
  <c r="D87" i="1"/>
  <c r="H82" i="1"/>
  <c r="E82" i="1"/>
  <c r="D82" i="1"/>
  <c r="H77" i="1"/>
  <c r="E77" i="1"/>
  <c r="D77" i="1"/>
  <c r="C77" i="1"/>
  <c r="H72" i="1"/>
  <c r="H67" i="1"/>
  <c r="E67" i="1"/>
  <c r="D67" i="1"/>
  <c r="H62" i="1"/>
  <c r="E62" i="1"/>
  <c r="D62" i="1"/>
  <c r="C62" i="1"/>
  <c r="H52" i="1"/>
  <c r="E52" i="1"/>
  <c r="D52" i="1"/>
  <c r="H47" i="1"/>
  <c r="E47" i="1"/>
  <c r="D47" i="1"/>
  <c r="C47" i="1"/>
  <c r="G57" i="1" l="1"/>
  <c r="G58" i="1" s="1"/>
  <c r="K58" i="1" s="1"/>
  <c r="G47" i="1"/>
  <c r="G48" i="1" s="1"/>
  <c r="E127" i="1"/>
  <c r="E128" i="1" s="1"/>
  <c r="E112" i="1"/>
  <c r="E113" i="1" s="1"/>
  <c r="E107" i="1"/>
  <c r="E108" i="1" s="1"/>
  <c r="C117" i="1"/>
  <c r="C118" i="1" s="1"/>
  <c r="D122" i="1"/>
  <c r="D123" i="1" s="1"/>
  <c r="D187" i="1"/>
  <c r="D188" i="1" s="1"/>
  <c r="E72" i="1"/>
  <c r="E73" i="1" s="1"/>
  <c r="D102" i="1"/>
  <c r="D103" i="1" s="1"/>
  <c r="D147" i="1"/>
  <c r="D148" i="1" s="1"/>
  <c r="G187" i="1"/>
  <c r="G188" i="1" s="1"/>
  <c r="C187" i="1"/>
  <c r="C188" i="1" s="1"/>
  <c r="D143" i="1"/>
  <c r="H188" i="1"/>
  <c r="H48" i="1"/>
  <c r="D48" i="1"/>
  <c r="H98" i="1"/>
  <c r="H53" i="1"/>
  <c r="C48" i="1"/>
  <c r="D163" i="1"/>
  <c r="D78" i="1"/>
  <c r="H93" i="1"/>
  <c r="D133" i="1"/>
  <c r="E53" i="1"/>
  <c r="H63" i="1"/>
  <c r="H83" i="1"/>
  <c r="D153" i="1"/>
  <c r="H78" i="1"/>
  <c r="G183" i="1"/>
  <c r="C78" i="1"/>
  <c r="H103" i="1"/>
  <c r="H113" i="1"/>
  <c r="E188" i="1"/>
  <c r="E78" i="1"/>
  <c r="D93" i="1"/>
  <c r="H108" i="1"/>
  <c r="H138" i="1"/>
  <c r="C148" i="1"/>
  <c r="C63" i="1"/>
  <c r="H73" i="1"/>
  <c r="E103" i="1"/>
  <c r="H158" i="1"/>
  <c r="D83" i="1"/>
  <c r="H118" i="1"/>
  <c r="H128" i="1"/>
  <c r="H148" i="1"/>
  <c r="H168" i="1"/>
  <c r="H68" i="1"/>
  <c r="H88" i="1"/>
  <c r="E138" i="1"/>
  <c r="H143" i="1"/>
  <c r="H153" i="1"/>
  <c r="H163" i="1"/>
  <c r="H173" i="1"/>
  <c r="C98" i="1"/>
  <c r="H183" i="1"/>
  <c r="D73" i="1"/>
  <c r="H133" i="1"/>
  <c r="H123" i="1"/>
  <c r="D118" i="1"/>
  <c r="D168" i="1"/>
  <c r="D178" i="1"/>
  <c r="G53" i="1"/>
  <c r="D68" i="1"/>
  <c r="D88" i="1"/>
  <c r="D98" i="1"/>
  <c r="D63" i="1"/>
  <c r="G93" i="1"/>
  <c r="D138" i="1"/>
  <c r="E48" i="1"/>
  <c r="D53" i="1"/>
  <c r="E63" i="1"/>
  <c r="E178" i="1"/>
  <c r="H178" i="1"/>
  <c r="E168" i="1"/>
  <c r="E163" i="1"/>
  <c r="E158" i="1"/>
  <c r="E148" i="1"/>
  <c r="E143" i="1"/>
  <c r="E133" i="1"/>
  <c r="E123" i="1"/>
  <c r="E118" i="1"/>
  <c r="E98" i="1"/>
  <c r="E93" i="1"/>
  <c r="E88" i="1"/>
  <c r="E83" i="1"/>
  <c r="G68" i="1"/>
  <c r="E68" i="1"/>
  <c r="C68" i="1"/>
  <c r="G167" i="1"/>
  <c r="G168" i="1" s="1"/>
  <c r="C177" i="1"/>
  <c r="C178" i="1" s="1"/>
  <c r="G117" i="1"/>
  <c r="G118" i="1" s="1"/>
  <c r="C167" i="1"/>
  <c r="C168" i="1" s="1"/>
  <c r="G132" i="1"/>
  <c r="G133" i="1" s="1"/>
  <c r="C72" i="1"/>
  <c r="C73" i="1" s="1"/>
  <c r="D107" i="1"/>
  <c r="D108" i="1" s="1"/>
  <c r="C112" i="1"/>
  <c r="C113" i="1" s="1"/>
  <c r="G122" i="1"/>
  <c r="G123" i="1" s="1"/>
  <c r="C142" i="1"/>
  <c r="C143" i="1" s="1"/>
  <c r="G152" i="1"/>
  <c r="G153" i="1" s="1"/>
  <c r="C87" i="1"/>
  <c r="C88" i="1" s="1"/>
  <c r="C102" i="1"/>
  <c r="C103" i="1" s="1"/>
  <c r="C127" i="1"/>
  <c r="C128" i="1" s="1"/>
  <c r="C92" i="1"/>
  <c r="C93" i="1" s="1"/>
  <c r="C107" i="1"/>
  <c r="C108" i="1" s="1"/>
  <c r="D127" i="1"/>
  <c r="D128" i="1" s="1"/>
  <c r="C152" i="1"/>
  <c r="C153" i="1" s="1"/>
  <c r="C182" i="1"/>
  <c r="C183" i="1" s="1"/>
  <c r="G127" i="1"/>
  <c r="G128" i="1" s="1"/>
  <c r="C137" i="1"/>
  <c r="C138" i="1" s="1"/>
  <c r="G162" i="1"/>
  <c r="G163" i="1" s="1"/>
  <c r="D112" i="1"/>
  <c r="D113" i="1" s="1"/>
  <c r="C162" i="1"/>
  <c r="C163" i="1" s="1"/>
  <c r="E182" i="1"/>
  <c r="E183" i="1" s="1"/>
  <c r="C82" i="1"/>
  <c r="C83" i="1" s="1"/>
  <c r="G87" i="1"/>
  <c r="G88" i="1" s="1"/>
  <c r="G97" i="1"/>
  <c r="G98" i="1" s="1"/>
  <c r="G157" i="1"/>
  <c r="G158" i="1" s="1"/>
  <c r="G147" i="1"/>
  <c r="G148" i="1" s="1"/>
  <c r="E152" i="1"/>
  <c r="E153" i="1" s="1"/>
  <c r="D172" i="1"/>
  <c r="D173" i="1" s="1"/>
  <c r="G77" i="1"/>
  <c r="G78" i="1" s="1"/>
  <c r="C52" i="1"/>
  <c r="C53" i="1" s="1"/>
  <c r="G172" i="1"/>
  <c r="G173" i="1" s="1"/>
  <c r="G107" i="1"/>
  <c r="G108" i="1" s="1"/>
  <c r="C157" i="1"/>
  <c r="C158" i="1" s="1"/>
  <c r="E172" i="1"/>
  <c r="E173" i="1" s="1"/>
  <c r="G112" i="1"/>
  <c r="G113" i="1" s="1"/>
  <c r="D157" i="1"/>
  <c r="D158" i="1" s="1"/>
  <c r="G62" i="1"/>
  <c r="G63" i="1" s="1"/>
  <c r="G72" i="1"/>
  <c r="G73" i="1" s="1"/>
  <c r="G82" i="1"/>
  <c r="G83" i="1" s="1"/>
  <c r="G102" i="1"/>
  <c r="G103" i="1" s="1"/>
  <c r="C122" i="1"/>
  <c r="C123" i="1" s="1"/>
  <c r="G137" i="1"/>
  <c r="G138" i="1" s="1"/>
  <c r="G142" i="1"/>
  <c r="G143" i="1" s="1"/>
  <c r="C172" i="1"/>
  <c r="C173" i="1" s="1"/>
  <c r="G177" i="1"/>
  <c r="G178" i="1" s="1"/>
  <c r="D182" i="1"/>
  <c r="D183" i="1" s="1"/>
  <c r="C132" i="1"/>
  <c r="C133" i="1" s="1"/>
  <c r="L58" i="1" l="1"/>
  <c r="Q58" i="1"/>
  <c r="N58" i="1"/>
  <c r="M58" i="1"/>
  <c r="L73" i="1"/>
  <c r="L143" i="1"/>
  <c r="L158" i="1"/>
  <c r="L48" i="1"/>
  <c r="M7" i="1" s="1"/>
  <c r="L188" i="1"/>
  <c r="M35" i="1" s="1"/>
  <c r="L98" i="1"/>
  <c r="M17" i="1" s="1"/>
  <c r="L128" i="1"/>
  <c r="L83" i="1"/>
  <c r="L108" i="1"/>
  <c r="L53" i="1"/>
  <c r="M8" i="1" s="1"/>
  <c r="L178" i="1"/>
  <c r="M33" i="1" s="1"/>
  <c r="L93" i="1"/>
  <c r="L183" i="1"/>
  <c r="L138" i="1"/>
  <c r="M25" i="1" s="1"/>
  <c r="L123" i="1"/>
  <c r="M22" i="1" s="1"/>
  <c r="L103" i="1"/>
  <c r="M18" i="1" s="1"/>
  <c r="K53" i="1"/>
  <c r="L8" i="1" s="1"/>
  <c r="L148" i="1"/>
  <c r="M27" i="1" s="1"/>
  <c r="L163" i="1"/>
  <c r="M30" i="1" s="1"/>
  <c r="L68" i="1"/>
  <c r="M11" i="1" s="1"/>
  <c r="K63" i="1"/>
  <c r="L63" i="1"/>
  <c r="K78" i="1"/>
  <c r="L78" i="1"/>
  <c r="M13" i="1" s="1"/>
  <c r="L133" i="1"/>
  <c r="L168" i="1"/>
  <c r="L113" i="1"/>
  <c r="L173" i="1"/>
  <c r="L88" i="1"/>
  <c r="L153" i="1"/>
  <c r="K118" i="1"/>
  <c r="L118" i="1"/>
  <c r="M21" i="1" s="1"/>
  <c r="K188" i="1"/>
  <c r="L35" i="1" s="1"/>
  <c r="K93" i="1"/>
  <c r="K148" i="1"/>
  <c r="L27" i="1" s="1"/>
  <c r="K48" i="1"/>
  <c r="L7" i="1" s="1"/>
  <c r="K98" i="1"/>
  <c r="L17" i="1" s="1"/>
  <c r="K178" i="1"/>
  <c r="L33" i="1" s="1"/>
  <c r="K68" i="1"/>
  <c r="K168" i="1"/>
  <c r="K133" i="1"/>
  <c r="K138" i="1"/>
  <c r="K103" i="1"/>
  <c r="K163" i="1"/>
  <c r="L30" i="1" s="1"/>
  <c r="K143" i="1"/>
  <c r="L26" i="1" s="1"/>
  <c r="K73" i="1"/>
  <c r="L12" i="1" s="1"/>
  <c r="K153" i="1"/>
  <c r="K128" i="1"/>
  <c r="L23" i="1" s="1"/>
  <c r="K123" i="1"/>
  <c r="K183" i="1"/>
  <c r="K108" i="1"/>
  <c r="K88" i="1"/>
  <c r="L15" i="1" s="1"/>
  <c r="K113" i="1"/>
  <c r="L20" i="1" s="1"/>
  <c r="K158" i="1"/>
  <c r="K173" i="1"/>
  <c r="K83" i="1"/>
  <c r="L14" i="1" s="1"/>
  <c r="M178" i="1"/>
  <c r="N33" i="1" s="1"/>
  <c r="L25" i="1" l="1"/>
  <c r="L19" i="1"/>
  <c r="L18" i="1"/>
  <c r="L11" i="1"/>
  <c r="M20" i="1"/>
  <c r="M10" i="1"/>
  <c r="L22" i="1"/>
  <c r="M15" i="1"/>
  <c r="M24" i="1"/>
  <c r="L21" i="1"/>
  <c r="L13" i="1"/>
  <c r="M23" i="1"/>
  <c r="L16" i="1"/>
  <c r="M26" i="1"/>
  <c r="L24" i="1"/>
  <c r="L10" i="1"/>
  <c r="M19" i="1"/>
  <c r="M12" i="1"/>
  <c r="M9" i="1"/>
  <c r="M16" i="1"/>
  <c r="M14" i="1"/>
  <c r="L9" i="1"/>
  <c r="M78" i="1"/>
  <c r="Q63" i="1"/>
  <c r="Q53" i="1"/>
  <c r="N48" i="1"/>
  <c r="O7" i="1" s="1"/>
  <c r="N68" i="1"/>
  <c r="M148" i="1"/>
  <c r="N27" i="1" s="1"/>
  <c r="Q78" i="1"/>
  <c r="M63" i="1"/>
  <c r="N78" i="1"/>
  <c r="N63" i="1"/>
  <c r="O10" i="1" s="1"/>
  <c r="N148" i="1"/>
  <c r="O27" i="1" s="1"/>
  <c r="M53" i="1"/>
  <c r="N8" i="1" s="1"/>
  <c r="M68" i="1"/>
  <c r="N53" i="1"/>
  <c r="O8" i="1" s="1"/>
  <c r="M48" i="1"/>
  <c r="N7" i="1" s="1"/>
  <c r="M93" i="1"/>
  <c r="M118" i="1"/>
  <c r="N93" i="1"/>
  <c r="N118" i="1"/>
  <c r="Q93" i="1"/>
  <c r="Q118" i="1"/>
  <c r="Q188" i="1"/>
  <c r="N188" i="1"/>
  <c r="O35" i="1" s="1"/>
  <c r="M188" i="1"/>
  <c r="N35" i="1" s="1"/>
  <c r="Q113" i="1"/>
  <c r="Q143" i="1"/>
  <c r="N133" i="1"/>
  <c r="O24" i="1" s="1"/>
  <c r="N98" i="1"/>
  <c r="O17" i="1" s="1"/>
  <c r="M83" i="1"/>
  <c r="M88" i="1"/>
  <c r="Q128" i="1"/>
  <c r="Q163" i="1"/>
  <c r="M168" i="1"/>
  <c r="Q48" i="1"/>
  <c r="N123" i="1"/>
  <c r="M98" i="1"/>
  <c r="N17" i="1" s="1"/>
  <c r="N173" i="1"/>
  <c r="N108" i="1"/>
  <c r="Q153" i="1"/>
  <c r="Q103" i="1"/>
  <c r="Q68" i="1"/>
  <c r="Q148" i="1"/>
  <c r="Q98" i="1"/>
  <c r="Q133" i="1"/>
  <c r="Q168" i="1"/>
  <c r="Q158" i="1"/>
  <c r="N183" i="1"/>
  <c r="Q73" i="1"/>
  <c r="Q138" i="1"/>
  <c r="Q178" i="1"/>
  <c r="N178" i="1"/>
  <c r="O33" i="1" s="1"/>
  <c r="M143" i="1"/>
  <c r="M133" i="1"/>
  <c r="N143" i="1"/>
  <c r="N168" i="1"/>
  <c r="M73" i="1"/>
  <c r="N12" i="1" s="1"/>
  <c r="N138" i="1"/>
  <c r="N88" i="1"/>
  <c r="O15" i="1" s="1"/>
  <c r="N73" i="1"/>
  <c r="O12" i="1" s="1"/>
  <c r="N103" i="1"/>
  <c r="M103" i="1"/>
  <c r="M138" i="1"/>
  <c r="M173" i="1"/>
  <c r="M153" i="1"/>
  <c r="M163" i="1"/>
  <c r="N30" i="1" s="1"/>
  <c r="N163" i="1"/>
  <c r="O30" i="1" s="1"/>
  <c r="N128" i="1"/>
  <c r="O23" i="1" s="1"/>
  <c r="N83" i="1"/>
  <c r="Q88" i="1"/>
  <c r="M128" i="1"/>
  <c r="N23" i="1" s="1"/>
  <c r="N153" i="1"/>
  <c r="Q123" i="1"/>
  <c r="N158" i="1"/>
  <c r="M158" i="1"/>
  <c r="M108" i="1"/>
  <c r="N19" i="1" s="1"/>
  <c r="Q108" i="1"/>
  <c r="M123" i="1"/>
  <c r="M183" i="1"/>
  <c r="Q183" i="1"/>
  <c r="M113" i="1"/>
  <c r="N20" i="1" s="1"/>
  <c r="N113" i="1"/>
  <c r="Q173" i="1"/>
  <c r="Q83" i="1"/>
  <c r="N10" i="1" l="1"/>
  <c r="N25" i="1"/>
  <c r="N15" i="1"/>
  <c r="O26" i="1"/>
  <c r="N26" i="1"/>
  <c r="N9" i="1"/>
  <c r="O20" i="1"/>
  <c r="O14" i="1"/>
  <c r="O18" i="1"/>
  <c r="N22" i="1"/>
  <c r="N18" i="1"/>
  <c r="O25" i="1"/>
  <c r="N24" i="1"/>
  <c r="N14" i="1"/>
  <c r="N21" i="1"/>
  <c r="N11" i="1"/>
  <c r="O13" i="1"/>
  <c r="O11" i="1"/>
  <c r="N13" i="1"/>
  <c r="O9" i="1"/>
  <c r="N16" i="1"/>
  <c r="O22" i="1"/>
  <c r="O21" i="1"/>
  <c r="O19" i="1"/>
  <c r="O16" i="1"/>
</calcChain>
</file>

<file path=xl/sharedStrings.xml><?xml version="1.0" encoding="utf-8"?>
<sst xmlns="http://schemas.openxmlformats.org/spreadsheetml/2006/main" count="313" uniqueCount="90">
  <si>
    <t>Woodcutting post</t>
  </si>
  <si>
    <t>Workers</t>
  </si>
  <si>
    <t>Daily Prod 1</t>
  </si>
  <si>
    <t>Daily Prod 2</t>
  </si>
  <si>
    <t>Oil Refinery</t>
  </si>
  <si>
    <t>Daily Con 1</t>
  </si>
  <si>
    <t>Daily Con 2</t>
  </si>
  <si>
    <t>Food Factory</t>
  </si>
  <si>
    <t>Total Value</t>
  </si>
  <si>
    <t>Unit Value</t>
  </si>
  <si>
    <t>Profit</t>
  </si>
  <si>
    <t>Margin</t>
  </si>
  <si>
    <t>Sell</t>
  </si>
  <si>
    <t>Buy</t>
  </si>
  <si>
    <t>Power</t>
  </si>
  <si>
    <t>Gravel</t>
  </si>
  <si>
    <t>Stone</t>
  </si>
  <si>
    <t>Crops</t>
  </si>
  <si>
    <t>Steel</t>
  </si>
  <si>
    <t>Prefab</t>
  </si>
  <si>
    <t>Bricks</t>
  </si>
  <si>
    <t>Wood</t>
  </si>
  <si>
    <t>Oil</t>
  </si>
  <si>
    <t>Chemicals</t>
  </si>
  <si>
    <t>Coal</t>
  </si>
  <si>
    <t>Coal ore</t>
  </si>
  <si>
    <t>Iron</t>
  </si>
  <si>
    <t>Iron ore</t>
  </si>
  <si>
    <t>Bitumen</t>
  </si>
  <si>
    <t>Boards</t>
  </si>
  <si>
    <t>Fuel</t>
  </si>
  <si>
    <t>Fabric</t>
  </si>
  <si>
    <t>Alcohol</t>
  </si>
  <si>
    <t>Cement</t>
  </si>
  <si>
    <t>Food</t>
  </si>
  <si>
    <t>Clothes</t>
  </si>
  <si>
    <t>Meat</t>
  </si>
  <si>
    <t>Livestock</t>
  </si>
  <si>
    <t>Asphalt</t>
  </si>
  <si>
    <t>Concrete</t>
  </si>
  <si>
    <t>Electro</t>
  </si>
  <si>
    <t>Mech</t>
  </si>
  <si>
    <t>Plastics</t>
  </si>
  <si>
    <t>Electronics</t>
  </si>
  <si>
    <t>Product</t>
  </si>
  <si>
    <t>Daily Con 3</t>
  </si>
  <si>
    <t>Sawmill</t>
  </si>
  <si>
    <t>Cost</t>
  </si>
  <si>
    <t>Payback Workdays</t>
  </si>
  <si>
    <t>Iron Mine</t>
  </si>
  <si>
    <t>Iron Processing</t>
  </si>
  <si>
    <t>Profit / Workday</t>
  </si>
  <si>
    <t>Steel Mill</t>
  </si>
  <si>
    <t>Coal Mine</t>
  </si>
  <si>
    <t>Coal Processing</t>
  </si>
  <si>
    <t>Coal Ore</t>
  </si>
  <si>
    <t>Brick Factory</t>
  </si>
  <si>
    <t>Quarry</t>
  </si>
  <si>
    <t>Cement Plant</t>
  </si>
  <si>
    <t>Concrete Plant</t>
  </si>
  <si>
    <t>Oil rig</t>
  </si>
  <si>
    <t>Livestock Farm</t>
  </si>
  <si>
    <t>Slaughterhouse</t>
  </si>
  <si>
    <t>Distillery</t>
  </si>
  <si>
    <t>Chemical Plant</t>
  </si>
  <si>
    <t>Plastics Factory</t>
  </si>
  <si>
    <t>Mech Component</t>
  </si>
  <si>
    <t>Elect Comp</t>
  </si>
  <si>
    <t>Clothing Factory</t>
  </si>
  <si>
    <t>Elect Assembly</t>
  </si>
  <si>
    <t>Rev / Workday</t>
  </si>
  <si>
    <t>Prefab Factory</t>
  </si>
  <si>
    <t>Prefab factory</t>
  </si>
  <si>
    <t>Paste values from "data.tsv" into cell A5.</t>
  </si>
  <si>
    <t>This table is your guide to which industries MIGHT be profitable for trade.</t>
  </si>
  <si>
    <t>Import cost / t</t>
  </si>
  <si>
    <t>Export cost / t</t>
  </si>
  <si>
    <t>Everything below here is the raw calculations for building profitability. Not recommended to modify.</t>
  </si>
  <si>
    <t>Woodcutting Post</t>
  </si>
  <si>
    <t>Coal Power Plant</t>
  </si>
  <si>
    <t>Gravel Processing</t>
  </si>
  <si>
    <t>Oil Rig</t>
  </si>
  <si>
    <t>Asphalt Plant</t>
  </si>
  <si>
    <t>Fabric Factory</t>
  </si>
  <si>
    <t>Below, enter your transport/fuel cost assumptions, and current trade prices.</t>
  </si>
  <si>
    <t>Farm</t>
  </si>
  <si>
    <t>Yield</t>
  </si>
  <si>
    <t>(total cost per ton; you need to factor in average distance.)</t>
  </si>
  <si>
    <t>Mines have a "Yield" number which is the mine quality number from the game.</t>
  </si>
  <si>
    <t>"Profit" means the export value of the product minus the import value of its ingredients.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</si>
</sst>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5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19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3" fontId="0" fillId="0" borderId="0" xfId="0" applyNumberFormat="1"/>
    <xf numFmtId="10" fontId="3" fillId="0" borderId="0" xfId="0" applyNumberFormat="1" applyFont="1"/>
    <xf numFmtId="164" fontId="0" fillId="3" borderId="1" xfId="2" applyNumberFormat="1" applyFont="1"/>
    <xf numFmtId="0" fontId="0" fillId="3" borderId="1" xfId="2" applyFont="1"/>
    <xf numFmtId="165" fontId="0" fillId="3" borderId="1" xfId="2" applyNumberFormat="1" applyFont="1"/>
    <xf numFmtId="3" fontId="0" fillId="3" borderId="1" xfId="2" applyNumberFormat="1" applyFont="1"/>
    <xf numFmtId="0" fontId="3" fillId="3" borderId="1" xfId="2" applyFont="1"/>
    <xf numFmtId="0" fontId="2" fillId="2" borderId="0" xfId="1" applyAlignment="1">
      <alignment horizontal="center"/>
    </xf>
    <xf numFmtId="9" fontId="0" fillId="3" borderId="1" xfId="2" applyNumberFormat="1" applyFont="1"/>
    <xf numFmtId="0" fontId="4" fillId="4" borderId="0" xfId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D090-3F8F-4253-84A6-3C1AA2D4781D}">
  <dimension ref="A1:X221"/>
  <sheetViews>
    <sheetView tabSelected="1" workbookViewId="0">
      <selection activeCell="A7" sqref="A7"/>
    </sheetView>
  </sheetViews>
  <sheetFormatPr defaultRowHeight="15" x14ac:dyDescent="0.25"/>
  <cols>
    <col min="1" max="1" width="17" bestFit="1" customWidth="1"/>
    <col min="2" max="2" width="8.5703125" bestFit="1" customWidth="1"/>
    <col min="3" max="5" width="10.7109375" style="4" bestFit="1" customWidth="1"/>
    <col min="6" max="6" width="3.28515625" customWidth="1"/>
    <col min="7" max="8" width="11.42578125" style="4" bestFit="1" customWidth="1"/>
    <col min="9" max="9" width="3.42578125" customWidth="1"/>
    <col min="10" max="10" width="17" bestFit="1" customWidth="1"/>
    <col min="11" max="11" width="10.85546875" style="4" bestFit="1" customWidth="1"/>
    <col min="12" max="12" width="14" style="4" bestFit="1" customWidth="1"/>
    <col min="13" max="13" width="15.7109375" style="4" bestFit="1" customWidth="1"/>
    <col min="14" max="14" width="15.85546875" style="3" bestFit="1" customWidth="1"/>
    <col min="15" max="15" width="8.85546875" bestFit="1" customWidth="1"/>
    <col min="16" max="16" width="2.85546875" style="4" customWidth="1"/>
    <col min="17" max="17" width="17.5703125" style="5" bestFit="1" customWidth="1"/>
    <col min="18" max="18" width="10.140625" bestFit="1" customWidth="1"/>
    <col min="19" max="19" width="10.5703125" customWidth="1"/>
    <col min="20" max="20" width="15" style="4" customWidth="1"/>
    <col min="21" max="21" width="10.140625" style="4" bestFit="1" customWidth="1"/>
    <col min="22" max="22" width="10.140625" bestFit="1" customWidth="1"/>
    <col min="24" max="25" width="10.140625" bestFit="1" customWidth="1"/>
  </cols>
  <sheetData>
    <row r="1" spans="1:24" x14ac:dyDescent="0.25">
      <c r="Q1"/>
      <c r="R1" s="4"/>
      <c r="S1" s="4"/>
      <c r="T1"/>
      <c r="U1"/>
    </row>
    <row r="2" spans="1:24" x14ac:dyDescent="0.25">
      <c r="A2" s="14" t="s">
        <v>73</v>
      </c>
      <c r="B2" s="14"/>
      <c r="C2" s="14"/>
      <c r="D2" s="14"/>
      <c r="E2" s="14"/>
      <c r="F2" s="14"/>
      <c r="G2" s="14"/>
      <c r="H2" s="14"/>
      <c r="J2" s="14" t="s">
        <v>74</v>
      </c>
      <c r="K2" s="14"/>
      <c r="L2" s="14"/>
      <c r="M2" s="14"/>
      <c r="N2" s="14"/>
      <c r="O2" s="14"/>
      <c r="Q2" s="14" t="s">
        <v>84</v>
      </c>
      <c r="R2" s="14"/>
      <c r="S2" s="14"/>
      <c r="T2" s="14"/>
      <c r="U2" s="14"/>
      <c r="V2" s="14"/>
      <c r="W2" s="14"/>
    </row>
    <row r="3" spans="1:24" x14ac:dyDescent="0.25">
      <c r="A3" s="14"/>
      <c r="B3" s="14"/>
      <c r="C3" s="14"/>
      <c r="D3" s="14"/>
      <c r="E3" s="14"/>
      <c r="F3" s="14"/>
      <c r="G3" s="14"/>
      <c r="H3" s="14"/>
      <c r="J3" s="14" t="s">
        <v>88</v>
      </c>
      <c r="K3" s="14"/>
      <c r="L3" s="14"/>
      <c r="M3" s="14"/>
      <c r="N3" s="14"/>
      <c r="O3" s="14"/>
      <c r="Q3" s="14"/>
      <c r="R3" s="14"/>
      <c r="S3" s="14"/>
      <c r="T3" s="14"/>
      <c r="U3" s="14"/>
      <c r="V3" s="14"/>
      <c r="W3" s="14"/>
    </row>
    <row r="4" spans="1:24" x14ac:dyDescent="0.25">
      <c r="A4" s="14"/>
      <c r="B4" s="14"/>
      <c r="C4" s="14"/>
      <c r="D4" s="14"/>
      <c r="E4" s="14"/>
      <c r="F4" s="14"/>
      <c r="G4" s="14"/>
      <c r="H4" s="14"/>
      <c r="J4" s="14" t="s">
        <v>89</v>
      </c>
      <c r="K4" s="14"/>
      <c r="L4" s="14"/>
      <c r="M4" s="14"/>
      <c r="N4" s="14"/>
      <c r="O4" s="14"/>
      <c r="Q4" s="14"/>
      <c r="R4" s="14"/>
      <c r="S4" s="14"/>
      <c r="T4" s="14"/>
      <c r="U4" s="14"/>
      <c r="V4" s="14"/>
      <c r="W4" s="14"/>
    </row>
    <row r="5" spans="1:24" x14ac:dyDescent="0.25">
      <c r="Q5"/>
      <c r="R5" s="4"/>
      <c r="S5" s="4"/>
      <c r="T5"/>
      <c r="U5"/>
    </row>
    <row r="6" spans="1:24" x14ac:dyDescent="0.25">
      <c r="B6" s="1" t="s">
        <v>1</v>
      </c>
      <c r="C6" s="6" t="s">
        <v>5</v>
      </c>
      <c r="D6" s="6" t="s">
        <v>6</v>
      </c>
      <c r="E6" s="6" t="s">
        <v>45</v>
      </c>
      <c r="F6" s="1"/>
      <c r="G6" s="6" t="s">
        <v>2</v>
      </c>
      <c r="H6" s="6" t="s">
        <v>3</v>
      </c>
      <c r="K6" s="1" t="s">
        <v>86</v>
      </c>
      <c r="L6" s="6" t="s">
        <v>10</v>
      </c>
      <c r="M6" s="6" t="s">
        <v>70</v>
      </c>
      <c r="N6" s="6" t="s">
        <v>51</v>
      </c>
      <c r="O6" s="8" t="s">
        <v>11</v>
      </c>
      <c r="P6" s="1"/>
      <c r="Q6"/>
      <c r="S6" s="4"/>
      <c r="U6"/>
      <c r="X6" s="4"/>
    </row>
    <row r="7" spans="1:24" x14ac:dyDescent="0.25">
      <c r="A7" s="13" t="s">
        <v>78</v>
      </c>
      <c r="B7" s="11">
        <v>22</v>
      </c>
      <c r="C7" s="11"/>
      <c r="D7" s="11"/>
      <c r="E7" s="11"/>
      <c r="F7" s="11"/>
      <c r="G7" s="11">
        <v>66.501999999999995</v>
      </c>
      <c r="H7" s="11"/>
      <c r="J7" s="1" t="str">
        <f>A7</f>
        <v>Woodcutting Post</v>
      </c>
      <c r="K7" s="1"/>
      <c r="L7" s="4">
        <f>VLOOKUP($J7,$J$48:$Q$183,2,FALSE)</f>
        <v>1662.55</v>
      </c>
      <c r="M7" s="4">
        <f>VLOOKUP($J7,$J$48:$Q$183,3,FALSE)</f>
        <v>75.570454545454538</v>
      </c>
      <c r="N7" s="4">
        <f>VLOOKUP($J7,$J$48:$Q$183,4,FALSE)</f>
        <v>75.570454545454538</v>
      </c>
      <c r="O7" s="3">
        <f>VLOOKUP($J7,$J$48:$Q$183,5,FALSE)</f>
        <v>1</v>
      </c>
      <c r="P7"/>
      <c r="Q7" s="1" t="s">
        <v>76</v>
      </c>
      <c r="R7" s="9">
        <v>2</v>
      </c>
      <c r="S7" s="18" t="s">
        <v>87</v>
      </c>
      <c r="T7" s="17"/>
      <c r="U7" s="17"/>
      <c r="V7" s="17"/>
      <c r="W7" s="17"/>
      <c r="X7" s="4"/>
    </row>
    <row r="8" spans="1:24" x14ac:dyDescent="0.25">
      <c r="A8" s="13" t="s">
        <v>46</v>
      </c>
      <c r="B8" s="11">
        <v>10</v>
      </c>
      <c r="C8" s="11">
        <v>77.936999999999998</v>
      </c>
      <c r="D8" s="11"/>
      <c r="E8" s="11"/>
      <c r="F8" s="11"/>
      <c r="G8" s="11">
        <v>35.741</v>
      </c>
      <c r="H8" s="11"/>
      <c r="J8" s="1" t="str">
        <f t="shared" ref="J8:J25" si="0">A8</f>
        <v>Sawmill</v>
      </c>
      <c r="K8" s="1"/>
      <c r="L8" s="4">
        <f>VLOOKUP($J8,$J$48:$Q$183,2,FALSE)</f>
        <v>167.22600000000011</v>
      </c>
      <c r="M8" s="4">
        <f>VLOOKUP($J8,$J$48:$Q$183,3,FALSE)</f>
        <v>289.50210000000004</v>
      </c>
      <c r="N8" s="4">
        <f>VLOOKUP($J8,$J$48:$Q$183,4,FALSE)</f>
        <v>16.722600000000011</v>
      </c>
      <c r="O8" s="3">
        <f>VLOOKUP($J8,$J$48:$Q$183,5,FALSE)</f>
        <v>5.7763311561470576E-2</v>
      </c>
      <c r="P8"/>
      <c r="Q8" s="1" t="s">
        <v>75</v>
      </c>
      <c r="R8" s="9">
        <v>5</v>
      </c>
      <c r="S8" s="18" t="s">
        <v>87</v>
      </c>
      <c r="T8" s="17"/>
      <c r="U8" s="17"/>
      <c r="V8" s="17"/>
      <c r="W8" s="17"/>
      <c r="X8" s="4"/>
    </row>
    <row r="9" spans="1:24" x14ac:dyDescent="0.25">
      <c r="A9" s="13" t="s">
        <v>85</v>
      </c>
      <c r="B9" s="11">
        <v>1</v>
      </c>
      <c r="C9" s="11"/>
      <c r="D9" s="11"/>
      <c r="E9" s="11"/>
      <c r="F9" s="11"/>
      <c r="G9" s="11">
        <v>4.4279999999999999</v>
      </c>
      <c r="H9" s="11"/>
      <c r="J9" s="1" t="str">
        <f t="shared" ref="J9" si="1">A9</f>
        <v>Farm</v>
      </c>
      <c r="K9" s="1"/>
      <c r="L9" s="4">
        <f>VLOOKUP($J9,$J$48:$Q$183,2,FALSE)</f>
        <v>108.486</v>
      </c>
      <c r="M9" s="4">
        <f>VLOOKUP($J9,$J$48:$Q$183,3,FALSE)</f>
        <v>108.486</v>
      </c>
      <c r="N9" s="4">
        <f>VLOOKUP($J9,$J$48:$Q$183,4,FALSE)</f>
        <v>108.486</v>
      </c>
      <c r="O9" s="3">
        <f>VLOOKUP($J9,$J$48:$Q$183,5,FALSE)</f>
        <v>1</v>
      </c>
      <c r="P9"/>
      <c r="Q9"/>
      <c r="R9" s="4"/>
      <c r="S9" s="4"/>
      <c r="U9"/>
      <c r="W9" s="4"/>
      <c r="X9" s="4"/>
    </row>
    <row r="10" spans="1:24" x14ac:dyDescent="0.25">
      <c r="A10" s="13" t="s">
        <v>49</v>
      </c>
      <c r="B10" s="11">
        <v>176</v>
      </c>
      <c r="C10" s="11"/>
      <c r="D10" s="11"/>
      <c r="E10" s="11"/>
      <c r="F10" s="11"/>
      <c r="G10" s="11">
        <v>495.47500000000002</v>
      </c>
      <c r="H10" s="11"/>
      <c r="J10" s="1" t="str">
        <f t="shared" si="0"/>
        <v>Iron Mine</v>
      </c>
      <c r="K10" s="15">
        <v>0.25</v>
      </c>
      <c r="L10" s="4">
        <f>VLOOKUP($J10,$J$48:$Q$183,2,FALSE)*K10</f>
        <v>3344.4562500000002</v>
      </c>
      <c r="M10" s="4">
        <f>VLOOKUP($J10,$J$48:$Q$183,3,FALSE)*K10</f>
        <v>19.002592329545454</v>
      </c>
      <c r="N10" s="4">
        <f>VLOOKUP($J10,$J$48:$Q$183,4,FALSE)*K10</f>
        <v>19.002592329545454</v>
      </c>
      <c r="O10" s="3">
        <f>VLOOKUP($J10,$J$48:$Q$183,5,FALSE)</f>
        <v>1</v>
      </c>
      <c r="P10"/>
      <c r="Q10"/>
      <c r="R10" s="6" t="s">
        <v>12</v>
      </c>
      <c r="S10" s="6" t="s">
        <v>13</v>
      </c>
      <c r="U10"/>
      <c r="W10" s="4"/>
      <c r="X10" s="4"/>
    </row>
    <row r="11" spans="1:24" x14ac:dyDescent="0.25">
      <c r="A11" s="13" t="s">
        <v>50</v>
      </c>
      <c r="B11" s="11">
        <v>11</v>
      </c>
      <c r="C11" s="11">
        <v>168.26900000000001</v>
      </c>
      <c r="D11" s="11"/>
      <c r="E11" s="11"/>
      <c r="F11" s="11"/>
      <c r="G11" s="11">
        <v>55.167000000000002</v>
      </c>
      <c r="H11" s="11"/>
      <c r="J11" s="1" t="str">
        <f t="shared" si="0"/>
        <v>Iron Processing</v>
      </c>
      <c r="K11" s="1"/>
      <c r="L11" s="4">
        <f>VLOOKUP($J11,$J$48:$Q$183,2,FALSE)</f>
        <v>2597.9989999999998</v>
      </c>
      <c r="M11" s="4">
        <f>VLOOKUP($J11,$J$48:$Q$183,3,FALSE)</f>
        <v>817.47463636363636</v>
      </c>
      <c r="N11" s="4">
        <f>VLOOKUP($J11,$J$48:$Q$183,4,FALSE)</f>
        <v>236.18172727272724</v>
      </c>
      <c r="O11" s="3">
        <f>VLOOKUP($J11,$J$48:$Q$183,5,FALSE)</f>
        <v>0.28891627552303262</v>
      </c>
      <c r="P11"/>
      <c r="Q11" s="1" t="s">
        <v>14</v>
      </c>
      <c r="R11" s="9">
        <v>7</v>
      </c>
      <c r="S11" s="9">
        <v>7.8</v>
      </c>
      <c r="U11"/>
      <c r="W11" s="4"/>
      <c r="X11" s="4"/>
    </row>
    <row r="12" spans="1:24" x14ac:dyDescent="0.25">
      <c r="A12" s="13" t="s">
        <v>52</v>
      </c>
      <c r="B12" s="11">
        <v>452</v>
      </c>
      <c r="C12" s="11">
        <v>327.733</v>
      </c>
      <c r="D12" s="11">
        <v>181.73699999999999</v>
      </c>
      <c r="E12" s="11"/>
      <c r="F12" s="11"/>
      <c r="G12" s="11">
        <v>17.292999999999999</v>
      </c>
      <c r="H12" s="11"/>
      <c r="J12" s="1" t="str">
        <f t="shared" si="0"/>
        <v>Steel Mill</v>
      </c>
      <c r="K12" s="1"/>
      <c r="L12" s="4">
        <f>VLOOKUP($J12,$J$48:$Q$183,2,FALSE)</f>
        <v>-37801.909999999996</v>
      </c>
      <c r="M12" s="4">
        <f>VLOOKUP($J12,$J$48:$Q$183,3,FALSE)</f>
        <v>85.814599557522129</v>
      </c>
      <c r="N12" s="4">
        <f>VLOOKUP($J12,$J$48:$Q$183,4,FALSE)</f>
        <v>-83.632544247787607</v>
      </c>
      <c r="O12" s="3">
        <f>VLOOKUP($J12,$J$48:$Q$183,5,FALSE)</f>
        <v>-0.9745724466351221</v>
      </c>
      <c r="P12"/>
      <c r="Q12" s="1" t="s">
        <v>15</v>
      </c>
      <c r="R12" s="9">
        <v>26.7</v>
      </c>
      <c r="S12" s="9">
        <v>29.5</v>
      </c>
      <c r="U12"/>
      <c r="W12" s="4"/>
      <c r="X12" s="4"/>
    </row>
    <row r="13" spans="1:24" x14ac:dyDescent="0.25">
      <c r="A13" s="13" t="s">
        <v>53</v>
      </c>
      <c r="B13" s="11">
        <v>192</v>
      </c>
      <c r="C13" s="11"/>
      <c r="D13" s="11"/>
      <c r="E13" s="11"/>
      <c r="F13" s="11"/>
      <c r="G13" s="11">
        <v>483.90600000000001</v>
      </c>
      <c r="H13" s="11"/>
      <c r="J13" s="1" t="str">
        <f t="shared" si="0"/>
        <v>Coal Mine</v>
      </c>
      <c r="K13" s="15">
        <v>0.25</v>
      </c>
      <c r="L13" s="4">
        <f>VLOOKUP($J13,$J$48:$Q$183,2,FALSE)*K13</f>
        <v>1451.7180000000001</v>
      </c>
      <c r="M13" s="4">
        <f>VLOOKUP($J13,$J$48:$Q$183,3,FALSE)*K13</f>
        <v>7.5610312500000001</v>
      </c>
      <c r="N13" s="4">
        <f>VLOOKUP($J13,$J$48:$Q$183,4,FALSE)*K13</f>
        <v>7.5610312500000001</v>
      </c>
      <c r="O13" s="3">
        <f>VLOOKUP($J13,$J$48:$Q$183,5,FALSE)</f>
        <v>1</v>
      </c>
      <c r="P13"/>
      <c r="Q13" s="1" t="s">
        <v>16</v>
      </c>
      <c r="R13" s="9">
        <v>8.6999999999999993</v>
      </c>
      <c r="S13" s="9">
        <v>9.6</v>
      </c>
      <c r="U13"/>
      <c r="W13" s="4"/>
    </row>
    <row r="14" spans="1:24" x14ac:dyDescent="0.25">
      <c r="A14" s="13" t="s">
        <v>54</v>
      </c>
      <c r="B14" s="11">
        <v>21</v>
      </c>
      <c r="C14" s="11">
        <v>164.72</v>
      </c>
      <c r="D14" s="11"/>
      <c r="E14" s="11"/>
      <c r="F14" s="11"/>
      <c r="G14" s="11">
        <v>46.658000000000001</v>
      </c>
      <c r="H14" s="11"/>
      <c r="J14" s="1" t="str">
        <f t="shared" si="0"/>
        <v>Coal Processing</v>
      </c>
      <c r="K14" s="1"/>
      <c r="L14" s="4">
        <f>VLOOKUP($J14,$J$48:$Q$183,2,FALSE)</f>
        <v>1719.9180000000006</v>
      </c>
      <c r="M14" s="4">
        <f>VLOOKUP($J14,$J$48:$Q$183,3,FALSE)</f>
        <v>246.62085714285718</v>
      </c>
      <c r="N14" s="4">
        <f>VLOOKUP($J14,$J$48:$Q$183,4,FALSE)</f>
        <v>81.900857142857177</v>
      </c>
      <c r="O14" s="3">
        <f>VLOOKUP($J14,$J$48:$Q$183,5,FALSE)</f>
        <v>0.33209217619179476</v>
      </c>
      <c r="P14"/>
      <c r="Q14" s="1" t="s">
        <v>17</v>
      </c>
      <c r="R14" s="9">
        <v>26.5</v>
      </c>
      <c r="S14" s="9">
        <v>29.3</v>
      </c>
      <c r="U14"/>
    </row>
    <row r="15" spans="1:24" x14ac:dyDescent="0.25">
      <c r="A15" s="13" t="s">
        <v>56</v>
      </c>
      <c r="B15" s="11">
        <v>98</v>
      </c>
      <c r="C15" s="11">
        <v>44.600999999999999</v>
      </c>
      <c r="D15" s="11"/>
      <c r="E15" s="11"/>
      <c r="F15" s="11"/>
      <c r="G15" s="11">
        <v>58.566000000000003</v>
      </c>
      <c r="H15" s="11"/>
      <c r="J15" s="1" t="str">
        <f t="shared" si="0"/>
        <v>Brick Factory</v>
      </c>
      <c r="K15" s="1"/>
      <c r="L15" s="4">
        <f>VLOOKUP($J15,$J$48:$Q$183,2,FALSE)</f>
        <v>-2049.9059999999999</v>
      </c>
      <c r="M15" s="4">
        <f>VLOOKUP($J15,$J$48:$Q$183,3,FALSE)</f>
        <v>38.247183673469387</v>
      </c>
      <c r="N15" s="4">
        <f>VLOOKUP($J15,$J$48:$Q$183,4,FALSE)</f>
        <v>-20.917408163265307</v>
      </c>
      <c r="O15" s="3">
        <f>VLOOKUP($J15,$J$48:$Q$183,5,FALSE)</f>
        <v>-0.54690061212990471</v>
      </c>
      <c r="P15"/>
      <c r="Q15" s="1" t="s">
        <v>18</v>
      </c>
      <c r="R15" s="9">
        <v>2245</v>
      </c>
      <c r="S15" s="9">
        <v>2481</v>
      </c>
      <c r="U15"/>
    </row>
    <row r="16" spans="1:24" x14ac:dyDescent="0.25">
      <c r="A16" s="13" t="s">
        <v>79</v>
      </c>
      <c r="B16" s="11">
        <v>24</v>
      </c>
      <c r="C16" s="11">
        <v>11.744999999999999</v>
      </c>
      <c r="D16" s="11"/>
      <c r="E16" s="11"/>
      <c r="F16" s="11"/>
      <c r="G16" s="11">
        <v>551.822</v>
      </c>
      <c r="H16" s="11"/>
      <c r="J16" s="1" t="str">
        <f t="shared" si="0"/>
        <v>Coal Power Plant</v>
      </c>
      <c r="K16" s="1"/>
      <c r="L16" s="4">
        <f>VLOOKUP($J16,$J$48:$Q$183,2,FALSE)</f>
        <v>2335.904</v>
      </c>
      <c r="M16" s="4">
        <f>VLOOKUP($J16,$J$48:$Q$183,3,FALSE)</f>
        <v>160.94808333333333</v>
      </c>
      <c r="N16" s="4">
        <f>VLOOKUP($J16,$J$48:$Q$183,4,FALSE)</f>
        <v>97.329333333333338</v>
      </c>
      <c r="O16" s="3">
        <f>VLOOKUP($J16,$J$48:$Q$183,5,FALSE)</f>
        <v>0.60472502261339967</v>
      </c>
      <c r="P16"/>
      <c r="Q16" s="1" t="s">
        <v>19</v>
      </c>
      <c r="R16" s="9">
        <v>59</v>
      </c>
      <c r="S16" s="9">
        <v>65</v>
      </c>
      <c r="U16"/>
    </row>
    <row r="17" spans="1:21" x14ac:dyDescent="0.25">
      <c r="A17" s="13" t="s">
        <v>57</v>
      </c>
      <c r="B17" s="11">
        <v>39</v>
      </c>
      <c r="C17" s="11"/>
      <c r="D17" s="11"/>
      <c r="E17" s="11"/>
      <c r="F17" s="11"/>
      <c r="G17" s="11">
        <v>141.39400000000001</v>
      </c>
      <c r="H17" s="11"/>
      <c r="J17" s="1" t="str">
        <f t="shared" si="0"/>
        <v>Quarry</v>
      </c>
      <c r="K17" s="1"/>
      <c r="L17" s="4">
        <f>VLOOKUP($J17,$J$48:$Q$183,2,FALSE)</f>
        <v>947.33979999999997</v>
      </c>
      <c r="M17" s="4">
        <f>VLOOKUP($J17,$J$48:$Q$183,3,FALSE)</f>
        <v>24.290764102564101</v>
      </c>
      <c r="N17" s="4">
        <f>VLOOKUP($J17,$J$48:$Q$183,4,FALSE)</f>
        <v>24.290764102564101</v>
      </c>
      <c r="O17" s="3">
        <f>VLOOKUP($J17,$J$48:$Q$183,5,FALSE)</f>
        <v>1</v>
      </c>
      <c r="P17"/>
      <c r="Q17" s="1" t="s">
        <v>20</v>
      </c>
      <c r="R17" s="9">
        <v>66</v>
      </c>
      <c r="S17" s="9">
        <v>73</v>
      </c>
      <c r="U17"/>
    </row>
    <row r="18" spans="1:21" x14ac:dyDescent="0.25">
      <c r="A18" s="13" t="s">
        <v>80</v>
      </c>
      <c r="B18" s="11">
        <v>15</v>
      </c>
      <c r="C18" s="11">
        <v>129.5</v>
      </c>
      <c r="D18" s="11"/>
      <c r="E18" s="11"/>
      <c r="F18" s="11"/>
      <c r="G18" s="11">
        <v>79.468999999999994</v>
      </c>
      <c r="H18" s="11"/>
      <c r="J18" s="1" t="str">
        <f t="shared" si="0"/>
        <v>Gravel Processing</v>
      </c>
      <c r="K18" s="1"/>
      <c r="L18" s="4">
        <f>VLOOKUP($J18,$J$48:$Q$183,2,FALSE)</f>
        <v>72.184299999999666</v>
      </c>
      <c r="M18" s="4">
        <f>VLOOKUP($J18,$J$48:$Q$183,3,FALSE)</f>
        <v>130.85895333333332</v>
      </c>
      <c r="N18" s="4">
        <f>VLOOKUP($J18,$J$48:$Q$183,4,FALSE)</f>
        <v>4.8122866666666448</v>
      </c>
      <c r="O18" s="3">
        <f>VLOOKUP($J18,$J$48:$Q$183,5,FALSE)</f>
        <v>3.6774607652626128E-2</v>
      </c>
      <c r="P18"/>
      <c r="Q18" s="1" t="s">
        <v>21</v>
      </c>
      <c r="R18" s="9">
        <v>27</v>
      </c>
      <c r="S18" s="9">
        <v>30</v>
      </c>
      <c r="U18"/>
    </row>
    <row r="19" spans="1:21" x14ac:dyDescent="0.25">
      <c r="A19" s="13" t="s">
        <v>58</v>
      </c>
      <c r="B19" s="11">
        <v>20</v>
      </c>
      <c r="C19" s="11">
        <v>18.491</v>
      </c>
      <c r="D19" s="11">
        <v>162.685</v>
      </c>
      <c r="E19" s="11"/>
      <c r="F19" s="11"/>
      <c r="G19" s="11">
        <v>46.542999999999999</v>
      </c>
      <c r="H19" s="11"/>
      <c r="J19" s="1" t="str">
        <f t="shared" si="0"/>
        <v>Cement Plant</v>
      </c>
      <c r="K19" s="1"/>
      <c r="L19" s="4">
        <f>VLOOKUP($J19,$J$48:$Q$183,2,FALSE)</f>
        <v>-4246.4794999999995</v>
      </c>
      <c r="M19" s="4">
        <f>VLOOKUP($J19,$J$48:$Q$183,3,FALSE)</f>
        <v>188.49914999999999</v>
      </c>
      <c r="N19" s="4">
        <f>VLOOKUP($J19,$J$48:$Q$183,4,FALSE)</f>
        <v>-212.32397499999996</v>
      </c>
      <c r="O19" s="3">
        <f>VLOOKUP($J19,$J$48:$Q$183,5,FALSE)</f>
        <v>-1.1263922145007019</v>
      </c>
      <c r="P19"/>
      <c r="Q19" s="1" t="s">
        <v>22</v>
      </c>
      <c r="R19" s="9">
        <v>79</v>
      </c>
      <c r="S19" s="9">
        <v>87</v>
      </c>
      <c r="U19"/>
    </row>
    <row r="20" spans="1:21" x14ac:dyDescent="0.25">
      <c r="A20" s="13" t="s">
        <v>59</v>
      </c>
      <c r="B20" s="11">
        <v>4</v>
      </c>
      <c r="C20" s="11">
        <v>160.43</v>
      </c>
      <c r="D20" s="11">
        <v>28.48</v>
      </c>
      <c r="E20" s="11"/>
      <c r="F20" s="11"/>
      <c r="G20" s="11">
        <v>112.752</v>
      </c>
      <c r="H20" s="11"/>
      <c r="J20" s="1" t="str">
        <f t="shared" si="0"/>
        <v>Concrete Plant</v>
      </c>
      <c r="K20" s="1"/>
      <c r="L20" s="4">
        <f>VLOOKUP($J20,$J$48:$Q$183,2,FALSE)</f>
        <v>-5816.8510000000006</v>
      </c>
      <c r="M20" s="4">
        <f>VLOOKUP($J20,$J$48:$Q$183,3,FALSE)</f>
        <v>620.13599999999997</v>
      </c>
      <c r="N20" s="4">
        <f>VLOOKUP($J20,$J$48:$Q$183,4,FALSE)</f>
        <v>-1454.2127500000001</v>
      </c>
      <c r="O20" s="3">
        <f>VLOOKUP($J20,$J$48:$Q$183,5,FALSE)</f>
        <v>-2.3449900505695527</v>
      </c>
      <c r="P20"/>
      <c r="Q20" s="1" t="s">
        <v>23</v>
      </c>
      <c r="R20" s="9">
        <v>3416</v>
      </c>
      <c r="S20" s="9">
        <v>3776</v>
      </c>
      <c r="U20"/>
    </row>
    <row r="21" spans="1:21" x14ac:dyDescent="0.25">
      <c r="A21" s="13" t="s">
        <v>81</v>
      </c>
      <c r="B21" s="11">
        <v>1</v>
      </c>
      <c r="C21" s="11"/>
      <c r="D21" s="11"/>
      <c r="E21" s="11"/>
      <c r="F21" s="11"/>
      <c r="G21" s="11">
        <v>2.3610000000000002</v>
      </c>
      <c r="H21" s="11"/>
      <c r="J21" s="1" t="str">
        <f t="shared" si="0"/>
        <v>Oil Rig</v>
      </c>
      <c r="K21" s="15">
        <v>0.75</v>
      </c>
      <c r="L21" s="4">
        <f>VLOOKUP($J21,$J$48:$Q$183,2,FALSE)*K21</f>
        <v>136.34775000000002</v>
      </c>
      <c r="M21" s="4">
        <f>VLOOKUP($J21,$J$48:$Q$183,3,FALSE)*K21</f>
        <v>136.34775000000002</v>
      </c>
      <c r="N21" s="4">
        <f>VLOOKUP($J21,$J$48:$Q$183,4,FALSE)*K21</f>
        <v>136.34775000000002</v>
      </c>
      <c r="O21" s="3">
        <f>VLOOKUP($J21,$J$48:$Q$183,5,FALSE)</f>
        <v>1</v>
      </c>
      <c r="P21"/>
      <c r="Q21" s="1" t="s">
        <v>24</v>
      </c>
      <c r="R21" s="9">
        <v>113</v>
      </c>
      <c r="S21" s="9">
        <v>125</v>
      </c>
      <c r="U21"/>
    </row>
    <row r="22" spans="1:21" x14ac:dyDescent="0.25">
      <c r="A22" s="13" t="s">
        <v>4</v>
      </c>
      <c r="B22" s="11">
        <v>439</v>
      </c>
      <c r="C22" s="11">
        <v>174.28800000000001</v>
      </c>
      <c r="D22" s="11"/>
      <c r="E22" s="11"/>
      <c r="F22" s="11"/>
      <c r="G22" s="11">
        <v>50.210999999999999</v>
      </c>
      <c r="H22" s="11">
        <v>49.460999999999999</v>
      </c>
      <c r="J22" s="1" t="str">
        <f t="shared" si="0"/>
        <v>Oil Refinery</v>
      </c>
      <c r="K22" s="1"/>
      <c r="L22" s="4">
        <f>VLOOKUP($J22,$J$48:$Q$183,2,FALSE)</f>
        <v>13374.071999999998</v>
      </c>
      <c r="M22" s="4">
        <f>VLOOKUP($J22,$J$48:$Q$183,3,FALSE)</f>
        <v>66.989904328018227</v>
      </c>
      <c r="N22" s="4">
        <f>VLOOKUP($J22,$J$48:$Q$183,4,FALSE)</f>
        <v>30.46485649202733</v>
      </c>
      <c r="O22" s="3">
        <f>VLOOKUP($J22,$J$48:$Q$183,5,FALSE)</f>
        <v>0.45476787581088607</v>
      </c>
      <c r="P22"/>
      <c r="Q22" s="1" t="s">
        <v>25</v>
      </c>
      <c r="R22" s="9">
        <v>14</v>
      </c>
      <c r="S22" s="9">
        <v>16</v>
      </c>
      <c r="U22"/>
    </row>
    <row r="23" spans="1:21" x14ac:dyDescent="0.25">
      <c r="A23" s="13" t="s">
        <v>82</v>
      </c>
      <c r="B23" s="11">
        <v>4</v>
      </c>
      <c r="C23" s="11">
        <v>91.778000000000006</v>
      </c>
      <c r="D23" s="11">
        <v>17.757000000000001</v>
      </c>
      <c r="E23" s="11">
        <v>10.627000000000001</v>
      </c>
      <c r="F23" s="11"/>
      <c r="G23" s="11">
        <v>98.99</v>
      </c>
      <c r="H23" s="11"/>
      <c r="J23" s="1" t="str">
        <f t="shared" si="0"/>
        <v>Asphalt Plant</v>
      </c>
      <c r="K23" s="1"/>
      <c r="L23" s="4">
        <f>VLOOKUP($J23,$J$48:$Q$183,2,FALSE)</f>
        <v>-11037.831600000001</v>
      </c>
      <c r="M23" s="4">
        <f>VLOOKUP($J23,$J$48:$Q$183,3,FALSE)</f>
        <v>1781.82</v>
      </c>
      <c r="N23" s="4">
        <f>VLOOKUP($J23,$J$48:$Q$183,4,FALSE)</f>
        <v>-2759.4579000000003</v>
      </c>
      <c r="O23" s="3">
        <f>VLOOKUP($J23,$J$48:$Q$183,5,FALSE)</f>
        <v>-1.5486737717614576</v>
      </c>
      <c r="P23"/>
      <c r="Q23" s="1" t="s">
        <v>26</v>
      </c>
      <c r="R23" s="9">
        <v>165</v>
      </c>
      <c r="S23" s="9">
        <v>182</v>
      </c>
      <c r="U23"/>
    </row>
    <row r="24" spans="1:21" x14ac:dyDescent="0.25">
      <c r="A24" s="13" t="s">
        <v>61</v>
      </c>
      <c r="B24" s="11">
        <v>7</v>
      </c>
      <c r="C24" s="11">
        <v>1.4019999999999999</v>
      </c>
      <c r="D24" s="11"/>
      <c r="E24" s="11"/>
      <c r="F24" s="11"/>
      <c r="G24" s="11">
        <v>0.27100000000000002</v>
      </c>
      <c r="H24" s="11"/>
      <c r="J24" s="1" t="str">
        <f t="shared" si="0"/>
        <v>Livestock Farm</v>
      </c>
      <c r="K24" s="1"/>
      <c r="L24" s="4">
        <f>VLOOKUP($J24,$J$48:$Q$183,2,FALSE)</f>
        <v>119.38940000000002</v>
      </c>
      <c r="M24" s="4">
        <f>VLOOKUP($J24,$J$48:$Q$183,3,FALSE)</f>
        <v>23.925428571428572</v>
      </c>
      <c r="N24" s="4">
        <f>VLOOKUP($J24,$J$48:$Q$183,4,FALSE)</f>
        <v>17.055628571428574</v>
      </c>
      <c r="O24" s="3">
        <f>VLOOKUP($J24,$J$48:$Q$183,5,FALSE)</f>
        <v>0.71286616749662657</v>
      </c>
      <c r="P24"/>
      <c r="Q24" s="1" t="s">
        <v>27</v>
      </c>
      <c r="R24" s="9">
        <v>29</v>
      </c>
      <c r="S24" s="9">
        <v>33</v>
      </c>
      <c r="U24"/>
    </row>
    <row r="25" spans="1:21" x14ac:dyDescent="0.25">
      <c r="A25" s="13" t="s">
        <v>62</v>
      </c>
      <c r="B25" s="11">
        <v>6</v>
      </c>
      <c r="C25" s="11">
        <v>38.423999999999999</v>
      </c>
      <c r="D25" s="11"/>
      <c r="E25" s="11"/>
      <c r="F25" s="11"/>
      <c r="G25" s="11">
        <v>11.105</v>
      </c>
      <c r="H25" s="11"/>
      <c r="J25" s="1" t="str">
        <f t="shared" si="0"/>
        <v>Slaughterhouse</v>
      </c>
      <c r="K25" s="1"/>
      <c r="L25" s="4">
        <f>VLOOKUP($J25,$J$48:$Q$183,2,FALSE)</f>
        <v>-19161.050000000003</v>
      </c>
      <c r="M25" s="4">
        <f>VLOOKUP($J25,$J$48:$Q$183,3,FALSE)</f>
        <v>1225.2516666666668</v>
      </c>
      <c r="N25" s="4">
        <f>VLOOKUP($J25,$J$48:$Q$183,4,FALSE)</f>
        <v>-3193.5083333333337</v>
      </c>
      <c r="O25" s="3">
        <f>VLOOKUP($J25,$J$48:$Q$183,5,FALSE)</f>
        <v>-2.6064101116641347</v>
      </c>
      <c r="P25"/>
      <c r="Q25" s="1" t="s">
        <v>28</v>
      </c>
      <c r="R25" s="9">
        <v>156</v>
      </c>
      <c r="S25" s="9">
        <v>835</v>
      </c>
      <c r="U25"/>
    </row>
    <row r="26" spans="1:21" x14ac:dyDescent="0.25">
      <c r="A26" s="13" t="s">
        <v>7</v>
      </c>
      <c r="B26" s="11">
        <v>178</v>
      </c>
      <c r="C26" s="11">
        <v>37.823999999999998</v>
      </c>
      <c r="D26" s="11"/>
      <c r="E26" s="11"/>
      <c r="F26" s="11"/>
      <c r="G26" s="11">
        <v>40.792999999999999</v>
      </c>
      <c r="H26" s="11"/>
      <c r="J26" s="1" t="str">
        <f t="shared" ref="J26:J35" si="2">A26</f>
        <v>Food Factory</v>
      </c>
      <c r="K26" s="1"/>
      <c r="L26" s="4">
        <f>VLOOKUP($J26,$J$48:$Q$183,2,FALSE)</f>
        <v>12980.186799999999</v>
      </c>
      <c r="M26" s="4">
        <f>VLOOKUP($J26,$J$48:$Q$183,3,FALSE)</f>
        <v>80.21095505617977</v>
      </c>
      <c r="N26" s="4">
        <f>VLOOKUP($J26,$J$48:$Q$183,4,FALSE)</f>
        <v>72.92239775280899</v>
      </c>
      <c r="O26" s="3">
        <f>VLOOKUP($J26,$J$48:$Q$183,5,FALSE)</f>
        <v>0.90913264530679283</v>
      </c>
      <c r="P26"/>
      <c r="Q26" s="1" t="s">
        <v>29</v>
      </c>
      <c r="R26" s="9">
        <v>83</v>
      </c>
      <c r="S26" s="9">
        <v>92</v>
      </c>
      <c r="U26"/>
    </row>
    <row r="27" spans="1:21" x14ac:dyDescent="0.25">
      <c r="A27" s="13" t="s">
        <v>63</v>
      </c>
      <c r="B27" s="11">
        <v>80</v>
      </c>
      <c r="C27" s="11">
        <v>24.14</v>
      </c>
      <c r="D27" s="11"/>
      <c r="E27" s="11"/>
      <c r="F27" s="11"/>
      <c r="G27" s="11">
        <v>4.6479999999999997</v>
      </c>
      <c r="H27" s="11"/>
      <c r="J27" s="1" t="str">
        <f t="shared" si="2"/>
        <v>Distillery</v>
      </c>
      <c r="K27" s="1"/>
      <c r="L27" s="4">
        <f>VLOOKUP($J27,$J$48:$Q$183,2,FALSE)</f>
        <v>3727.038</v>
      </c>
      <c r="M27" s="4">
        <f>VLOOKUP($J27,$J$48:$Q$183,3,FALSE)</f>
        <v>56.938000000000002</v>
      </c>
      <c r="N27" s="4">
        <f>VLOOKUP($J27,$J$48:$Q$183,4,FALSE)</f>
        <v>46.587975</v>
      </c>
      <c r="O27" s="3">
        <f>VLOOKUP($J27,$J$48:$Q$183,5,FALSE)</f>
        <v>0.81822289156626504</v>
      </c>
      <c r="P27"/>
      <c r="Q27" s="1" t="s">
        <v>30</v>
      </c>
      <c r="R27" s="9">
        <v>436</v>
      </c>
      <c r="S27" s="9">
        <v>482</v>
      </c>
      <c r="U27"/>
    </row>
    <row r="28" spans="1:21" x14ac:dyDescent="0.25">
      <c r="A28" s="13"/>
      <c r="B28" s="11"/>
      <c r="C28" s="11"/>
      <c r="D28" s="11"/>
      <c r="E28" s="11"/>
      <c r="F28" s="11"/>
      <c r="G28" s="11"/>
      <c r="H28" s="11"/>
      <c r="J28" s="1"/>
      <c r="K28" s="1"/>
      <c r="N28" s="4"/>
      <c r="O28" s="3"/>
      <c r="P28"/>
      <c r="Q28" s="1" t="s">
        <v>31</v>
      </c>
      <c r="R28" s="9">
        <v>1000</v>
      </c>
      <c r="S28" s="9">
        <v>1106</v>
      </c>
      <c r="U28"/>
    </row>
    <row r="29" spans="1:21" x14ac:dyDescent="0.25">
      <c r="A29" s="13"/>
      <c r="B29" s="11"/>
      <c r="C29" s="11"/>
      <c r="D29" s="11"/>
      <c r="E29" s="11"/>
      <c r="F29" s="11"/>
      <c r="G29" s="11"/>
      <c r="H29" s="11"/>
      <c r="J29" s="1"/>
      <c r="K29" s="1"/>
      <c r="N29" s="4"/>
      <c r="O29" s="3"/>
      <c r="P29"/>
      <c r="Q29" s="1" t="s">
        <v>32</v>
      </c>
      <c r="R29" s="9">
        <v>982</v>
      </c>
      <c r="S29" s="9">
        <v>1086</v>
      </c>
      <c r="U29"/>
    </row>
    <row r="30" spans="1:21" x14ac:dyDescent="0.25">
      <c r="A30" s="13" t="s">
        <v>83</v>
      </c>
      <c r="B30" s="11">
        <v>45</v>
      </c>
      <c r="C30" s="11">
        <v>9.3070000000000004</v>
      </c>
      <c r="D30" s="11">
        <v>0.22500000000000001</v>
      </c>
      <c r="E30" s="11"/>
      <c r="F30" s="11"/>
      <c r="G30" s="11">
        <v>0.43</v>
      </c>
      <c r="H30" s="11"/>
      <c r="J30" s="1" t="str">
        <f t="shared" si="2"/>
        <v>Fabric Factory</v>
      </c>
      <c r="K30" s="1"/>
      <c r="L30" s="4">
        <f>VLOOKUP($J30,$J$48:$Q$183,2,FALSE)</f>
        <v>-740.81510000000014</v>
      </c>
      <c r="M30" s="4">
        <f>VLOOKUP($J30,$J$48:$Q$183,3,FALSE)</f>
        <v>9.5364444444444434</v>
      </c>
      <c r="N30" s="4">
        <f>VLOOKUP($J30,$J$48:$Q$183,4,FALSE)</f>
        <v>-16.462557777777782</v>
      </c>
      <c r="O30" s="3">
        <f>VLOOKUP($J30,$J$48:$Q$183,5,FALSE)</f>
        <v>-1.7262783706948786</v>
      </c>
      <c r="P30"/>
      <c r="Q30" s="1" t="s">
        <v>33</v>
      </c>
      <c r="R30" s="9">
        <v>83</v>
      </c>
      <c r="S30" s="9">
        <v>92</v>
      </c>
      <c r="U30"/>
    </row>
    <row r="31" spans="1:21" x14ac:dyDescent="0.25">
      <c r="A31" s="13"/>
      <c r="B31" s="11"/>
      <c r="C31" s="11"/>
      <c r="D31" s="11"/>
      <c r="E31" s="11"/>
      <c r="F31" s="11"/>
      <c r="G31" s="11"/>
      <c r="H31" s="11"/>
      <c r="J31" s="1"/>
      <c r="K31" s="1"/>
      <c r="N31" s="4"/>
      <c r="O31" s="3"/>
      <c r="P31"/>
      <c r="Q31" s="1" t="s">
        <v>34</v>
      </c>
      <c r="R31" s="9">
        <v>352</v>
      </c>
      <c r="S31" s="9">
        <v>389</v>
      </c>
      <c r="U31"/>
    </row>
    <row r="32" spans="1:21" x14ac:dyDescent="0.25">
      <c r="A32" s="13"/>
      <c r="B32" s="11"/>
      <c r="C32" s="11"/>
      <c r="D32" s="11"/>
      <c r="E32" s="11"/>
      <c r="F32" s="11"/>
      <c r="G32" s="11"/>
      <c r="H32" s="11"/>
      <c r="J32" s="1"/>
      <c r="K32" s="1"/>
      <c r="N32" s="4"/>
      <c r="O32" s="3"/>
      <c r="P32"/>
      <c r="Q32" s="1" t="s">
        <v>35</v>
      </c>
      <c r="R32" s="9">
        <v>13853</v>
      </c>
      <c r="S32" s="9">
        <v>15311</v>
      </c>
      <c r="U32"/>
    </row>
    <row r="33" spans="1:22" x14ac:dyDescent="0.25">
      <c r="A33" s="13" t="s">
        <v>68</v>
      </c>
      <c r="B33" s="11">
        <v>35</v>
      </c>
      <c r="C33" s="11">
        <v>1.113</v>
      </c>
      <c r="D33" s="11"/>
      <c r="E33" s="11"/>
      <c r="F33" s="11"/>
      <c r="G33" s="11">
        <v>7.0000000000000007E-2</v>
      </c>
      <c r="H33" s="11"/>
      <c r="J33" s="1" t="str">
        <f t="shared" si="2"/>
        <v>Clothing Factory</v>
      </c>
      <c r="K33" s="1"/>
      <c r="L33" s="4">
        <f>VLOOKUP($J33,$J$48:$Q$183,2,FALSE)</f>
        <v>-266.97299999999984</v>
      </c>
      <c r="M33" s="4">
        <f>VLOOKUP($J33,$J$48:$Q$183,3,FALSE)</f>
        <v>27.702000000000002</v>
      </c>
      <c r="N33" s="4">
        <f>VLOOKUP($J33,$J$48:$Q$183,4,FALSE)</f>
        <v>-7.6277999999999953</v>
      </c>
      <c r="O33" s="3">
        <f>VLOOKUP($J33,$J$48:$Q$183,5,FALSE)</f>
        <v>-0.27535196014728158</v>
      </c>
      <c r="P33"/>
      <c r="Q33" s="1" t="s">
        <v>36</v>
      </c>
      <c r="R33" s="9">
        <v>664</v>
      </c>
      <c r="S33" s="9">
        <v>774</v>
      </c>
      <c r="U33"/>
    </row>
    <row r="34" spans="1:22" x14ac:dyDescent="0.25">
      <c r="A34" s="13"/>
      <c r="B34" s="11"/>
      <c r="C34" s="11"/>
      <c r="D34" s="11"/>
      <c r="E34" s="11"/>
      <c r="F34" s="11"/>
      <c r="G34" s="11"/>
      <c r="H34" s="11"/>
      <c r="J34" s="1"/>
      <c r="K34" s="1"/>
      <c r="N34" s="4"/>
      <c r="O34" s="3"/>
      <c r="P34"/>
      <c r="Q34" s="1" t="s">
        <v>37</v>
      </c>
      <c r="R34" s="9">
        <v>620</v>
      </c>
      <c r="S34" s="9">
        <v>685</v>
      </c>
      <c r="U34"/>
    </row>
    <row r="35" spans="1:22" x14ac:dyDescent="0.25">
      <c r="A35" s="13" t="s">
        <v>71</v>
      </c>
      <c r="B35" s="11">
        <v>66</v>
      </c>
      <c r="C35" s="12">
        <v>9.7550000000000008</v>
      </c>
      <c r="D35" s="12">
        <v>64.022999999999996</v>
      </c>
      <c r="E35" s="12"/>
      <c r="F35" s="10"/>
      <c r="G35" s="12">
        <v>49.201000000000001</v>
      </c>
      <c r="H35" s="12"/>
      <c r="J35" s="1" t="str">
        <f t="shared" si="2"/>
        <v>Prefab Factory</v>
      </c>
      <c r="K35" s="1"/>
      <c r="L35" s="4">
        <f>VLOOKUP($J35,$J$48:$Q$188,2,FALSE)</f>
        <v>-350.57150000000001</v>
      </c>
      <c r="M35" s="4">
        <f>VLOOKUP($J35,$J$48:$Q$188,3,FALSE)</f>
        <v>42.491772727272725</v>
      </c>
      <c r="N35" s="4">
        <f>VLOOKUP($J35,$J$48:$Q$188,4,FALSE)</f>
        <v>-5.3116893939393943</v>
      </c>
      <c r="O35" s="3">
        <f>VLOOKUP($J35,$J$48:$Q$188,5,FALSE)</f>
        <v>-0.12500512576944486</v>
      </c>
      <c r="P35"/>
      <c r="Q35" s="1" t="s">
        <v>38</v>
      </c>
      <c r="R35" s="9">
        <v>74</v>
      </c>
      <c r="S35" s="9">
        <v>81</v>
      </c>
      <c r="U35"/>
    </row>
    <row r="36" spans="1:22" x14ac:dyDescent="0.25">
      <c r="K36"/>
      <c r="N36" s="4"/>
      <c r="O36" s="3"/>
      <c r="P36"/>
      <c r="Q36" s="1" t="s">
        <v>39</v>
      </c>
      <c r="R36" s="9">
        <v>24</v>
      </c>
      <c r="S36" s="9">
        <v>26</v>
      </c>
      <c r="U36"/>
    </row>
    <row r="37" spans="1:22" x14ac:dyDescent="0.25">
      <c r="Q37" s="1" t="s">
        <v>40</v>
      </c>
      <c r="R37" s="9">
        <v>2780</v>
      </c>
      <c r="S37" s="9">
        <v>3072</v>
      </c>
      <c r="U37"/>
    </row>
    <row r="38" spans="1:22" x14ac:dyDescent="0.25">
      <c r="Q38" s="1" t="s">
        <v>41</v>
      </c>
      <c r="R38" s="9">
        <v>3429</v>
      </c>
      <c r="S38" s="9">
        <v>3790</v>
      </c>
      <c r="U38"/>
    </row>
    <row r="39" spans="1:22" x14ac:dyDescent="0.25">
      <c r="Q39" s="1" t="s">
        <v>42</v>
      </c>
      <c r="R39" s="9">
        <v>1323</v>
      </c>
      <c r="S39" s="9">
        <v>1462</v>
      </c>
      <c r="U39"/>
    </row>
    <row r="40" spans="1:22" x14ac:dyDescent="0.25">
      <c r="Q40" s="1" t="s">
        <v>43</v>
      </c>
      <c r="R40" s="9">
        <v>3154</v>
      </c>
      <c r="S40" s="9">
        <v>3487</v>
      </c>
      <c r="U40"/>
    </row>
    <row r="41" spans="1:22" x14ac:dyDescent="0.25">
      <c r="Q41"/>
      <c r="S41" s="4"/>
      <c r="U41"/>
    </row>
    <row r="43" spans="1:22" x14ac:dyDescent="0.25">
      <c r="A43" s="16" t="s">
        <v>77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 x14ac:dyDescent="0.25">
      <c r="B44" t="s">
        <v>1</v>
      </c>
      <c r="C44" s="4" t="s">
        <v>5</v>
      </c>
      <c r="D44" s="4" t="s">
        <v>6</v>
      </c>
      <c r="E44" s="4" t="s">
        <v>45</v>
      </c>
      <c r="G44" s="4" t="s">
        <v>2</v>
      </c>
      <c r="H44" s="4" t="s">
        <v>3</v>
      </c>
      <c r="K44" s="4" t="s">
        <v>10</v>
      </c>
      <c r="L44" s="4" t="s">
        <v>70</v>
      </c>
      <c r="M44" s="4" t="s">
        <v>51</v>
      </c>
      <c r="N44" s="3" t="s">
        <v>11</v>
      </c>
      <c r="P44" s="4" t="s">
        <v>47</v>
      </c>
      <c r="Q44" s="5" t="s">
        <v>48</v>
      </c>
      <c r="T44" s="4" t="s">
        <v>12</v>
      </c>
      <c r="U44" s="4" t="s">
        <v>13</v>
      </c>
    </row>
    <row r="45" spans="1:22" x14ac:dyDescent="0.25">
      <c r="A45" t="s">
        <v>0</v>
      </c>
      <c r="B45">
        <f>VLOOKUP($A45,$A$7:$H$34,2,FALSE)</f>
        <v>22</v>
      </c>
      <c r="C45">
        <f>VLOOKUP($A45,$A$7:$H$34,3,FALSE)</f>
        <v>0</v>
      </c>
      <c r="D45">
        <f>VLOOKUP($A45,$A$7:$H$34,4,FALSE)</f>
        <v>0</v>
      </c>
      <c r="E45">
        <f>VLOOKUP($A45,$A$7:$H$34,5,FALSE)</f>
        <v>0</v>
      </c>
      <c r="G45">
        <f>VLOOKUP($A45,$A$7:$H$34,7,FALSE)</f>
        <v>66.501999999999995</v>
      </c>
      <c r="H45">
        <f>VLOOKUP($A45,$A$7:$H$34,8,FALSE)</f>
        <v>0</v>
      </c>
      <c r="S45" t="s">
        <v>14</v>
      </c>
      <c r="T45" s="4">
        <f>R11</f>
        <v>7</v>
      </c>
      <c r="U45" s="4">
        <f>S11</f>
        <v>7.8</v>
      </c>
    </row>
    <row r="46" spans="1:22" x14ac:dyDescent="0.25">
      <c r="A46" s="2" t="s">
        <v>44</v>
      </c>
      <c r="G46" s="4" t="s">
        <v>21</v>
      </c>
      <c r="S46" t="s">
        <v>15</v>
      </c>
      <c r="T46" s="4">
        <f>R12-$R$7</f>
        <v>24.7</v>
      </c>
      <c r="U46" s="4">
        <f>S12+$R$8</f>
        <v>34.5</v>
      </c>
    </row>
    <row r="47" spans="1:22" x14ac:dyDescent="0.25">
      <c r="A47" s="2" t="s">
        <v>9</v>
      </c>
      <c r="C47" s="4">
        <f>IF(NOT(ISBLANK(C46)),VLOOKUP(C46,$S$45:$U$74,3,FALSE),0)</f>
        <v>0</v>
      </c>
      <c r="D47" s="4">
        <f>IF(NOT(ISBLANK(D46)),VLOOKUP(D46,$S$45:$U$74,3,FALSE),0)</f>
        <v>0</v>
      </c>
      <c r="E47" s="4">
        <f>IF(NOT(ISBLANK(E46)),VLOOKUP(E46,$S$45:$U$74,3,FALSE),0)</f>
        <v>0</v>
      </c>
      <c r="G47" s="4">
        <f>IF(NOT(ISBLANK(G46)),VLOOKUP(G46,$S$45:$U$74,2,FALSE),0)</f>
        <v>25</v>
      </c>
      <c r="H47" s="4">
        <f>IF(NOT(ISBLANK(H46)),VLOOKUP(H46,$S$45:$U$74,2,FALSE),0)</f>
        <v>0</v>
      </c>
      <c r="S47" t="s">
        <v>16</v>
      </c>
      <c r="T47" s="4">
        <f>R13-$R$7</f>
        <v>6.6999999999999993</v>
      </c>
      <c r="U47" s="4">
        <f>S13+$R$8</f>
        <v>14.6</v>
      </c>
    </row>
    <row r="48" spans="1:22" x14ac:dyDescent="0.25">
      <c r="A48" s="2" t="s">
        <v>8</v>
      </c>
      <c r="C48" s="6">
        <f>C47*C45</f>
        <v>0</v>
      </c>
      <c r="D48" s="6">
        <f>D47*D45</f>
        <v>0</v>
      </c>
      <c r="E48" s="6">
        <f>E47*E45</f>
        <v>0</v>
      </c>
      <c r="F48" s="1"/>
      <c r="G48" s="6">
        <f>G45*G47</f>
        <v>1662.55</v>
      </c>
      <c r="H48" s="6">
        <f>H45*H47</f>
        <v>0</v>
      </c>
      <c r="I48" s="1"/>
      <c r="J48" s="1" t="str">
        <f>A45</f>
        <v>Woodcutting post</v>
      </c>
      <c r="K48" s="4">
        <f>SUM(G48:H48)-SUM(C48:E48)</f>
        <v>1662.55</v>
      </c>
      <c r="L48" s="4">
        <f>SUM(G48:H48)/B45</f>
        <v>75.570454545454538</v>
      </c>
      <c r="M48" s="4">
        <f>K48/B45</f>
        <v>75.570454545454538</v>
      </c>
      <c r="N48" s="3">
        <f>K48/SUM(G48:H48)</f>
        <v>1</v>
      </c>
      <c r="O48" s="1"/>
      <c r="P48" s="4">
        <v>4157</v>
      </c>
      <c r="Q48" s="5">
        <f>P48/K48*B45</f>
        <v>55.008270427957058</v>
      </c>
      <c r="S48" t="s">
        <v>17</v>
      </c>
      <c r="T48" s="4">
        <f>R14-$R$7</f>
        <v>24.5</v>
      </c>
      <c r="U48" s="4">
        <f>S14+$R$8</f>
        <v>34.299999999999997</v>
      </c>
    </row>
    <row r="49" spans="1:21" x14ac:dyDescent="0.25">
      <c r="S49" t="s">
        <v>18</v>
      </c>
      <c r="T49" s="4">
        <f>R15-$R$7</f>
        <v>2243</v>
      </c>
      <c r="U49" s="4">
        <f>S15+$R$8</f>
        <v>2486</v>
      </c>
    </row>
    <row r="50" spans="1:21" x14ac:dyDescent="0.25">
      <c r="A50" t="s">
        <v>46</v>
      </c>
      <c r="B50">
        <f>VLOOKUP($A50,$A$7:$H$34,2,FALSE)</f>
        <v>10</v>
      </c>
      <c r="C50">
        <f>VLOOKUP($A50,$A$7:$H$34,3,FALSE)</f>
        <v>77.936999999999998</v>
      </c>
      <c r="D50">
        <f>VLOOKUP($A50,$A$7:$H$34,4,FALSE)</f>
        <v>0</v>
      </c>
      <c r="E50">
        <f>VLOOKUP($A50,$A$7:$H$34,5,FALSE)</f>
        <v>0</v>
      </c>
      <c r="G50">
        <f>VLOOKUP($A50,$A$7:$H$34,7,FALSE)</f>
        <v>35.741</v>
      </c>
      <c r="H50">
        <f>VLOOKUP($A50,$A$7:$H$34,8,FALSE)</f>
        <v>0</v>
      </c>
      <c r="S50" t="s">
        <v>19</v>
      </c>
      <c r="T50" s="4">
        <f>R16-$R$7</f>
        <v>57</v>
      </c>
      <c r="U50" s="4">
        <f>S16+$R$8</f>
        <v>70</v>
      </c>
    </row>
    <row r="51" spans="1:21" x14ac:dyDescent="0.25">
      <c r="A51" s="2" t="s">
        <v>44</v>
      </c>
      <c r="C51" s="4" t="s">
        <v>21</v>
      </c>
      <c r="G51" s="4" t="s">
        <v>29</v>
      </c>
      <c r="S51" t="s">
        <v>20</v>
      </c>
      <c r="T51" s="4">
        <f>R17-$R$7</f>
        <v>64</v>
      </c>
      <c r="U51" s="4">
        <f>S17+$R$8</f>
        <v>78</v>
      </c>
    </row>
    <row r="52" spans="1:21" x14ac:dyDescent="0.25">
      <c r="A52" s="2" t="s">
        <v>9</v>
      </c>
      <c r="C52" s="4">
        <f>IF(NOT(ISBLANK(C51)),VLOOKUP(C51,$S$45:$U$74,3,FALSE),0)</f>
        <v>35</v>
      </c>
      <c r="D52" s="4">
        <f>IF(NOT(ISBLANK(D51)),VLOOKUP(D51,$S$45:$U$74,3,FALSE),0)</f>
        <v>0</v>
      </c>
      <c r="E52" s="4">
        <f>IF(NOT(ISBLANK(E51)),VLOOKUP(E51,$S$45:$U$74,3,FALSE),0)</f>
        <v>0</v>
      </c>
      <c r="G52" s="4">
        <f>IF(NOT(ISBLANK(G51)),VLOOKUP(G51,$S$45:$U$74,2,FALSE),0)</f>
        <v>81</v>
      </c>
      <c r="H52" s="4">
        <f>IF(NOT(ISBLANK(H51)),VLOOKUP(H51,$S$45:$U$74,2,FALSE),0)</f>
        <v>0</v>
      </c>
      <c r="S52" t="s">
        <v>21</v>
      </c>
      <c r="T52" s="4">
        <f>R18-$R$7</f>
        <v>25</v>
      </c>
      <c r="U52" s="4">
        <f>S18+$R$8</f>
        <v>35</v>
      </c>
    </row>
    <row r="53" spans="1:21" x14ac:dyDescent="0.25">
      <c r="A53" s="2" t="s">
        <v>8</v>
      </c>
      <c r="C53" s="6">
        <f>C52*C50</f>
        <v>2727.7950000000001</v>
      </c>
      <c r="D53" s="6">
        <f>D52*D50</f>
        <v>0</v>
      </c>
      <c r="E53" s="6">
        <f>E52*E50</f>
        <v>0</v>
      </c>
      <c r="F53" s="1"/>
      <c r="G53" s="6">
        <f>G50*G52</f>
        <v>2895.0210000000002</v>
      </c>
      <c r="H53" s="6">
        <f>H50*H52</f>
        <v>0</v>
      </c>
      <c r="I53" s="1"/>
      <c r="J53" s="1" t="str">
        <f>A50</f>
        <v>Sawmill</v>
      </c>
      <c r="K53" s="4">
        <f>SUM(G53:H53)-SUM(C53:E53)</f>
        <v>167.22600000000011</v>
      </c>
      <c r="L53" s="4">
        <f>SUM(G53:H53)/B50</f>
        <v>289.50210000000004</v>
      </c>
      <c r="M53" s="4">
        <f>K53/B50</f>
        <v>16.722600000000011</v>
      </c>
      <c r="N53" s="3">
        <f>K53/SUM(G53:H53)</f>
        <v>5.7763311561470576E-2</v>
      </c>
      <c r="O53" s="1"/>
      <c r="P53" s="4">
        <v>21764</v>
      </c>
      <c r="Q53" s="5">
        <f>P53/K53*B50</f>
        <v>1301.4722590984647</v>
      </c>
      <c r="S53" t="s">
        <v>22</v>
      </c>
      <c r="T53" s="4">
        <f>R19-$R$7</f>
        <v>77</v>
      </c>
      <c r="U53" s="4">
        <f>S19+$R$8</f>
        <v>92</v>
      </c>
    </row>
    <row r="54" spans="1:21" x14ac:dyDescent="0.25">
      <c r="S54" t="s">
        <v>23</v>
      </c>
      <c r="T54" s="4">
        <f>R20-$R$7</f>
        <v>3414</v>
      </c>
      <c r="U54" s="4">
        <f>S20+$R$8</f>
        <v>3781</v>
      </c>
    </row>
    <row r="55" spans="1:21" x14ac:dyDescent="0.25">
      <c r="A55" t="s">
        <v>85</v>
      </c>
      <c r="B55">
        <f>VLOOKUP($A55,$A$7:$H$34,2,FALSE)</f>
        <v>1</v>
      </c>
      <c r="C55">
        <f>VLOOKUP($A55,$A$7:$H$34,3,FALSE)</f>
        <v>0</v>
      </c>
      <c r="D55">
        <f>VLOOKUP($A55,$A$7:$H$34,4,FALSE)</f>
        <v>0</v>
      </c>
      <c r="E55">
        <f>VLOOKUP($A55,$A$7:$H$34,5,FALSE)</f>
        <v>0</v>
      </c>
      <c r="G55">
        <f>VLOOKUP($A55,$A$7:$H$34,7,FALSE)</f>
        <v>4.4279999999999999</v>
      </c>
      <c r="H55">
        <f>VLOOKUP($A55,$A$7:$H$34,8,FALSE)</f>
        <v>0</v>
      </c>
      <c r="S55" t="s">
        <v>24</v>
      </c>
      <c r="T55" s="4">
        <f>R21-$R$7</f>
        <v>111</v>
      </c>
      <c r="U55" s="4">
        <f>S21+$R$8</f>
        <v>130</v>
      </c>
    </row>
    <row r="56" spans="1:21" x14ac:dyDescent="0.25">
      <c r="A56" s="2" t="s">
        <v>44</v>
      </c>
      <c r="G56" s="4" t="s">
        <v>17</v>
      </c>
      <c r="S56" t="s">
        <v>25</v>
      </c>
      <c r="T56" s="4">
        <f>R22-$R$7</f>
        <v>12</v>
      </c>
      <c r="U56" s="4">
        <f>S22+$R$8</f>
        <v>21</v>
      </c>
    </row>
    <row r="57" spans="1:21" x14ac:dyDescent="0.25">
      <c r="A57" s="2" t="s">
        <v>9</v>
      </c>
      <c r="C57" s="4">
        <f>IF(NOT(ISBLANK(C56)),VLOOKUP(C56,$S$45:$U$74,3,FALSE),0)</f>
        <v>0</v>
      </c>
      <c r="D57" s="4">
        <f>IF(NOT(ISBLANK(D56)),VLOOKUP(D56,$S$45:$U$74,3,FALSE),0)</f>
        <v>0</v>
      </c>
      <c r="E57" s="4">
        <f>IF(NOT(ISBLANK(E56)),VLOOKUP(E56,$S$45:$U$74,3,FALSE),0)</f>
        <v>0</v>
      </c>
      <c r="G57" s="4">
        <f>IF(NOT(ISBLANK(G56)),VLOOKUP(G56,$S$45:$U$74,2,FALSE),0)</f>
        <v>24.5</v>
      </c>
      <c r="H57" s="4">
        <f>IF(NOT(ISBLANK(H56)),VLOOKUP(H56,$S$45:$U$74,2,FALSE),0)</f>
        <v>0</v>
      </c>
      <c r="S57" t="s">
        <v>26</v>
      </c>
      <c r="T57" s="4">
        <f>R23-$R$7</f>
        <v>163</v>
      </c>
      <c r="U57" s="4">
        <f>S23+$R$8</f>
        <v>187</v>
      </c>
    </row>
    <row r="58" spans="1:21" x14ac:dyDescent="0.25">
      <c r="A58" s="2" t="s">
        <v>8</v>
      </c>
      <c r="C58" s="6">
        <f>C57*C55</f>
        <v>0</v>
      </c>
      <c r="D58" s="6">
        <f>D57*D55</f>
        <v>0</v>
      </c>
      <c r="E58" s="6">
        <f>E57*E55</f>
        <v>0</v>
      </c>
      <c r="F58" s="1"/>
      <c r="G58" s="6">
        <f>G55*G57</f>
        <v>108.486</v>
      </c>
      <c r="H58" s="6">
        <f>H55*H57</f>
        <v>0</v>
      </c>
      <c r="I58" s="1"/>
      <c r="J58" s="1" t="str">
        <f>A55</f>
        <v>Farm</v>
      </c>
      <c r="K58" s="4">
        <f>SUM(G58:H58)-SUM(C58:E58)</f>
        <v>108.486</v>
      </c>
      <c r="L58" s="4">
        <f>SUM(G58:H58)/B55</f>
        <v>108.486</v>
      </c>
      <c r="M58" s="4">
        <f>K58/B55</f>
        <v>108.486</v>
      </c>
      <c r="N58" s="3">
        <f>K58/SUM(G58:H58)</f>
        <v>1</v>
      </c>
      <c r="O58" s="1"/>
      <c r="P58" s="4">
        <v>4157</v>
      </c>
      <c r="Q58" s="5">
        <f>P58/K58*B55</f>
        <v>38.318308353151558</v>
      </c>
      <c r="S58" t="s">
        <v>27</v>
      </c>
      <c r="T58" s="4">
        <f>R24-$R$7</f>
        <v>27</v>
      </c>
      <c r="U58" s="4">
        <f>S24+$R$8</f>
        <v>38</v>
      </c>
    </row>
    <row r="59" spans="1:21" x14ac:dyDescent="0.25">
      <c r="S59" t="s">
        <v>28</v>
      </c>
      <c r="T59" s="4">
        <f>R25-$R$7</f>
        <v>154</v>
      </c>
      <c r="U59" s="4">
        <f>S25+$R$8</f>
        <v>840</v>
      </c>
    </row>
    <row r="60" spans="1:21" x14ac:dyDescent="0.25">
      <c r="A60" t="s">
        <v>49</v>
      </c>
      <c r="B60">
        <f>VLOOKUP($A60,$A$7:$H$34,2,FALSE)</f>
        <v>176</v>
      </c>
      <c r="C60">
        <f>VLOOKUP($A60,$A$7:$H$34,3,FALSE)</f>
        <v>0</v>
      </c>
      <c r="D60">
        <f>VLOOKUP($A60,$A$7:$H$34,4,FALSE)</f>
        <v>0</v>
      </c>
      <c r="E60">
        <f>VLOOKUP($A60,$A$7:$H$34,5,FALSE)</f>
        <v>0</v>
      </c>
      <c r="G60">
        <f>VLOOKUP($A60,$A$7:$H$34,7,FALSE)</f>
        <v>495.47500000000002</v>
      </c>
      <c r="H60">
        <f>VLOOKUP($A60,$A$7:$H$34,8,FALSE)</f>
        <v>0</v>
      </c>
      <c r="S60" t="s">
        <v>29</v>
      </c>
      <c r="T60" s="4">
        <f>R26-$R$7</f>
        <v>81</v>
      </c>
      <c r="U60" s="4">
        <f>S26+$R$8</f>
        <v>97</v>
      </c>
    </row>
    <row r="61" spans="1:21" x14ac:dyDescent="0.25">
      <c r="A61" s="2" t="s">
        <v>44</v>
      </c>
      <c r="G61" s="4" t="s">
        <v>27</v>
      </c>
      <c r="S61" t="s">
        <v>30</v>
      </c>
      <c r="T61" s="4">
        <f>R27-$R$7</f>
        <v>434</v>
      </c>
      <c r="U61" s="4">
        <f>S27+$R$8</f>
        <v>487</v>
      </c>
    </row>
    <row r="62" spans="1:21" x14ac:dyDescent="0.25">
      <c r="A62" s="2" t="s">
        <v>9</v>
      </c>
      <c r="C62" s="4">
        <f>IF(NOT(ISBLANK(C61)),VLOOKUP(C61,$S$45:$U$74,3,FALSE),0)</f>
        <v>0</v>
      </c>
      <c r="D62" s="4">
        <f>IF(NOT(ISBLANK(D61)),VLOOKUP(D61,$S$45:$U$74,3,FALSE),0)</f>
        <v>0</v>
      </c>
      <c r="E62" s="4">
        <f>IF(NOT(ISBLANK(E61)),VLOOKUP(E61,$S$45:$U$74,3,FALSE),0)</f>
        <v>0</v>
      </c>
      <c r="G62" s="4">
        <f>IF(NOT(ISBLANK(G61)),VLOOKUP(G61,$S$45:$U$74,2,FALSE),0)</f>
        <v>27</v>
      </c>
      <c r="H62" s="4">
        <f>IF(NOT(ISBLANK(H61)),VLOOKUP(H61,$S$45:$U$74,2,FALSE),0)</f>
        <v>0</v>
      </c>
      <c r="S62" t="s">
        <v>31</v>
      </c>
      <c r="T62" s="4">
        <f>R28-$R$7</f>
        <v>998</v>
      </c>
      <c r="U62" s="4">
        <f>S28+$R$8</f>
        <v>1111</v>
      </c>
    </row>
    <row r="63" spans="1:21" x14ac:dyDescent="0.25">
      <c r="A63" s="2" t="s">
        <v>8</v>
      </c>
      <c r="C63" s="6">
        <f>C62*C60</f>
        <v>0</v>
      </c>
      <c r="D63" s="6">
        <f>D62*D60</f>
        <v>0</v>
      </c>
      <c r="E63" s="6">
        <f>E62*E60</f>
        <v>0</v>
      </c>
      <c r="F63" s="1"/>
      <c r="G63" s="6">
        <f>G60*G62</f>
        <v>13377.825000000001</v>
      </c>
      <c r="H63" s="6">
        <f>H60*H62</f>
        <v>0</v>
      </c>
      <c r="I63" s="1"/>
      <c r="J63" s="1" t="str">
        <f>A60</f>
        <v>Iron Mine</v>
      </c>
      <c r="K63" s="4">
        <f>SUM(G63:H63)-SUM(C63:E63)</f>
        <v>13377.825000000001</v>
      </c>
      <c r="L63" s="4">
        <f>SUM(G63:H63)/B60</f>
        <v>76.010369318181816</v>
      </c>
      <c r="M63" s="4">
        <f>K63/B60</f>
        <v>76.010369318181816</v>
      </c>
      <c r="N63" s="3">
        <f>K63/SUM(G63:H63)</f>
        <v>1</v>
      </c>
      <c r="O63" s="1"/>
      <c r="P63" s="4">
        <v>85018</v>
      </c>
      <c r="Q63" s="5">
        <f>P63/K63*B60</f>
        <v>1118.5052876682121</v>
      </c>
      <c r="S63" t="s">
        <v>32</v>
      </c>
      <c r="T63" s="4">
        <f>R29-$R$7</f>
        <v>980</v>
      </c>
      <c r="U63" s="4">
        <f>S29+$R$8</f>
        <v>1091</v>
      </c>
    </row>
    <row r="64" spans="1:21" x14ac:dyDescent="0.25">
      <c r="S64" t="s">
        <v>33</v>
      </c>
      <c r="T64" s="4">
        <f>R30-$R$7</f>
        <v>81</v>
      </c>
      <c r="U64" s="4">
        <f>S30+$R$8</f>
        <v>97</v>
      </c>
    </row>
    <row r="65" spans="1:22" x14ac:dyDescent="0.25">
      <c r="A65" t="s">
        <v>50</v>
      </c>
      <c r="B65">
        <f>VLOOKUP($A65,$A$7:$H$34,2,FALSE)</f>
        <v>11</v>
      </c>
      <c r="C65">
        <f>VLOOKUP($A65,$A$7:$H$34,3,FALSE)</f>
        <v>168.26900000000001</v>
      </c>
      <c r="D65">
        <f>VLOOKUP($A65,$A$7:$H$34,4,FALSE)</f>
        <v>0</v>
      </c>
      <c r="E65">
        <f>VLOOKUP($A65,$A$7:$H$34,5,FALSE)</f>
        <v>0</v>
      </c>
      <c r="G65">
        <f>VLOOKUP($A65,$A$7:$H$34,7,FALSE)</f>
        <v>55.167000000000002</v>
      </c>
      <c r="H65">
        <f>VLOOKUP($A65,$A$7:$H$34,8,FALSE)</f>
        <v>0</v>
      </c>
      <c r="S65" t="s">
        <v>34</v>
      </c>
      <c r="T65" s="4">
        <f>R31-$R$7</f>
        <v>350</v>
      </c>
      <c r="U65" s="4">
        <f>S31+$R$8</f>
        <v>394</v>
      </c>
    </row>
    <row r="66" spans="1:22" x14ac:dyDescent="0.25">
      <c r="A66" s="2" t="s">
        <v>44</v>
      </c>
      <c r="C66" s="4" t="s">
        <v>27</v>
      </c>
      <c r="G66" s="4" t="s">
        <v>26</v>
      </c>
      <c r="S66" t="s">
        <v>35</v>
      </c>
      <c r="T66" s="4">
        <f>R32-$R$7</f>
        <v>13851</v>
      </c>
      <c r="U66" s="4">
        <f>S32+$R$8</f>
        <v>15316</v>
      </c>
    </row>
    <row r="67" spans="1:22" x14ac:dyDescent="0.25">
      <c r="A67" s="2" t="s">
        <v>9</v>
      </c>
      <c r="C67" s="4">
        <f>IF(NOT(ISBLANK(C66)),VLOOKUP(C66,$S$45:$U$74,3,FALSE),0)</f>
        <v>38</v>
      </c>
      <c r="D67" s="4">
        <f>IF(NOT(ISBLANK(D66)),VLOOKUP(D66,$S$45:$U$74,3,FALSE),0)</f>
        <v>0</v>
      </c>
      <c r="E67" s="4">
        <f>IF(NOT(ISBLANK(E66)),VLOOKUP(E66,$S$45:$U$74,3,FALSE),0)</f>
        <v>0</v>
      </c>
      <c r="G67" s="4">
        <f>IF(NOT(ISBLANK(G66)),VLOOKUP(G66,$S$45:$U$74,2,FALSE),0)</f>
        <v>163</v>
      </c>
      <c r="H67" s="4">
        <f>IF(NOT(ISBLANK(H66)),VLOOKUP(H66,$S$45:$U$74,2,FALSE),0)</f>
        <v>0</v>
      </c>
      <c r="S67" t="s">
        <v>36</v>
      </c>
      <c r="T67" s="4">
        <f>R33-$R$7</f>
        <v>662</v>
      </c>
      <c r="U67" s="4">
        <f>S33+$R$8</f>
        <v>779</v>
      </c>
    </row>
    <row r="68" spans="1:22" x14ac:dyDescent="0.25">
      <c r="A68" s="2" t="s">
        <v>8</v>
      </c>
      <c r="C68" s="6">
        <f>C67*C65</f>
        <v>6394.2219999999998</v>
      </c>
      <c r="D68" s="6">
        <f>D67*D65</f>
        <v>0</v>
      </c>
      <c r="E68" s="6">
        <f>E67*E65</f>
        <v>0</v>
      </c>
      <c r="F68" s="1"/>
      <c r="G68" s="6">
        <f>G65*G67</f>
        <v>8992.2209999999995</v>
      </c>
      <c r="H68" s="6">
        <f>H65*H67</f>
        <v>0</v>
      </c>
      <c r="I68" s="1"/>
      <c r="J68" s="1" t="str">
        <f>A65</f>
        <v>Iron Processing</v>
      </c>
      <c r="K68" s="4">
        <f>SUM(G68:H68)-SUM(C68:E68)</f>
        <v>2597.9989999999998</v>
      </c>
      <c r="L68" s="4">
        <f>SUM(G68:H68)/B65</f>
        <v>817.47463636363636</v>
      </c>
      <c r="M68" s="4">
        <f>K68/B65</f>
        <v>236.18172727272724</v>
      </c>
      <c r="N68" s="3">
        <f>K68/SUM(G68:H68)</f>
        <v>0.28891627552303262</v>
      </c>
      <c r="O68" s="1"/>
      <c r="P68" s="4">
        <v>146810</v>
      </c>
      <c r="Q68" s="5">
        <f>P68/K68*B65</f>
        <v>621.59762186205614</v>
      </c>
      <c r="S68" t="s">
        <v>37</v>
      </c>
      <c r="T68" s="4">
        <f>R34-$R$7</f>
        <v>618</v>
      </c>
      <c r="U68" s="4">
        <f>S34+$R$8</f>
        <v>690</v>
      </c>
    </row>
    <row r="69" spans="1:22" x14ac:dyDescent="0.25">
      <c r="S69" t="s">
        <v>38</v>
      </c>
      <c r="T69" s="4">
        <f>R35-$R$7</f>
        <v>72</v>
      </c>
      <c r="U69" s="4">
        <f>S35+$R$8</f>
        <v>86</v>
      </c>
    </row>
    <row r="70" spans="1:22" x14ac:dyDescent="0.25">
      <c r="A70" t="s">
        <v>52</v>
      </c>
      <c r="B70">
        <f>VLOOKUP($A70,$A$7:$H$34,2,FALSE)</f>
        <v>452</v>
      </c>
      <c r="C70">
        <f>VLOOKUP($A70,$A$7:$H$34,3,FALSE)</f>
        <v>327.733</v>
      </c>
      <c r="D70">
        <f>VLOOKUP($A70,$A$7:$H$34,4,FALSE)</f>
        <v>181.73699999999999</v>
      </c>
      <c r="E70">
        <f>VLOOKUP($A70,$A$7:$H$34,5,FALSE)</f>
        <v>0</v>
      </c>
      <c r="G70">
        <f>VLOOKUP($A70,$A$7:$H$34,7,FALSE)</f>
        <v>17.292999999999999</v>
      </c>
      <c r="H70">
        <f>VLOOKUP($A70,$A$7:$H$34,8,FALSE)</f>
        <v>0</v>
      </c>
      <c r="S70" t="s">
        <v>39</v>
      </c>
      <c r="T70" s="4">
        <f>R36-$R$7</f>
        <v>22</v>
      </c>
      <c r="U70" s="4">
        <f>S36+$R$8</f>
        <v>31</v>
      </c>
    </row>
    <row r="71" spans="1:22" x14ac:dyDescent="0.25">
      <c r="A71" s="2" t="s">
        <v>44</v>
      </c>
      <c r="C71" s="4" t="s">
        <v>24</v>
      </c>
      <c r="D71" s="4" t="s">
        <v>26</v>
      </c>
      <c r="E71" s="4" t="s">
        <v>14</v>
      </c>
      <c r="G71" s="4" t="s">
        <v>18</v>
      </c>
      <c r="S71" t="s">
        <v>40</v>
      </c>
      <c r="T71" s="4">
        <f>R37-$R$7</f>
        <v>2778</v>
      </c>
      <c r="U71" s="4">
        <f>S37+$R$8</f>
        <v>3077</v>
      </c>
    </row>
    <row r="72" spans="1:22" x14ac:dyDescent="0.25">
      <c r="A72" s="2" t="s">
        <v>9</v>
      </c>
      <c r="C72" s="4">
        <f>IF(NOT(ISBLANK(C71)),VLOOKUP(C71,$S$45:$U$74,3,FALSE),0)</f>
        <v>130</v>
      </c>
      <c r="D72" s="4">
        <f>IF(NOT(ISBLANK(D71)),VLOOKUP(D71,$S$45:$U$74,3,FALSE),0)</f>
        <v>187</v>
      </c>
      <c r="E72" s="4">
        <f>IF(NOT(ISBLANK(E71)),VLOOKUP(E71,$S$45:$U$74,3,FALSE),0)</f>
        <v>7.8</v>
      </c>
      <c r="G72" s="4">
        <f>IF(NOT(ISBLANK(G71)),VLOOKUP(G71,$S$45:$U$74,2,FALSE),0)</f>
        <v>2243</v>
      </c>
      <c r="H72" s="4">
        <f>IF(NOT(ISBLANK(H71)),VLOOKUP(H71,$S$45:$U$74,2,FALSE),0)</f>
        <v>0</v>
      </c>
      <c r="S72" t="s">
        <v>41</v>
      </c>
      <c r="T72" s="4">
        <f>R38-$R$7</f>
        <v>3427</v>
      </c>
      <c r="U72" s="4">
        <f>S38+$R$8</f>
        <v>3795</v>
      </c>
    </row>
    <row r="73" spans="1:22" x14ac:dyDescent="0.25">
      <c r="A73" s="2" t="s">
        <v>8</v>
      </c>
      <c r="C73" s="6">
        <f>C72*C70</f>
        <v>42605.29</v>
      </c>
      <c r="D73" s="6">
        <f>D72*D70</f>
        <v>33984.818999999996</v>
      </c>
      <c r="E73" s="6">
        <f>E72*E70</f>
        <v>0</v>
      </c>
      <c r="F73" s="1"/>
      <c r="G73" s="6">
        <f>G70*G72</f>
        <v>38788.199000000001</v>
      </c>
      <c r="H73" s="6">
        <f>H70*H72</f>
        <v>0</v>
      </c>
      <c r="I73" s="1"/>
      <c r="J73" s="1" t="str">
        <f>A70</f>
        <v>Steel Mill</v>
      </c>
      <c r="K73" s="4">
        <f>SUM(G73:H73)-SUM(C73:E73)</f>
        <v>-37801.909999999996</v>
      </c>
      <c r="L73" s="4">
        <f>SUM(G73:H73)/B70</f>
        <v>85.814599557522129</v>
      </c>
      <c r="M73" s="4">
        <f>K73/B70</f>
        <v>-83.632544247787607</v>
      </c>
      <c r="N73" s="3">
        <f>K73/SUM(G73:H73)</f>
        <v>-0.9745724466351221</v>
      </c>
      <c r="O73" s="1"/>
      <c r="P73" s="4">
        <v>257030</v>
      </c>
      <c r="Q73" s="5">
        <f>P73/K73*B70</f>
        <v>-3073.3251309259244</v>
      </c>
      <c r="S73" t="s">
        <v>42</v>
      </c>
      <c r="T73" s="4">
        <f>R39-$R$7</f>
        <v>1321</v>
      </c>
      <c r="U73" s="4">
        <f>S39+$R$8</f>
        <v>1467</v>
      </c>
      <c r="V73" s="5"/>
    </row>
    <row r="74" spans="1:22" x14ac:dyDescent="0.25">
      <c r="S74" t="s">
        <v>43</v>
      </c>
      <c r="T74" s="4">
        <f>R40-$R$7</f>
        <v>3152</v>
      </c>
      <c r="U74" s="4">
        <f>S40+$R$8</f>
        <v>3492</v>
      </c>
      <c r="V74" s="5"/>
    </row>
    <row r="75" spans="1:22" x14ac:dyDescent="0.25">
      <c r="A75" t="s">
        <v>53</v>
      </c>
      <c r="B75">
        <f>VLOOKUP($A75,$A$7:$H$34,2,FALSE)</f>
        <v>192</v>
      </c>
      <c r="C75">
        <f>VLOOKUP($A75,$A$7:$H$34,3,FALSE)</f>
        <v>0</v>
      </c>
      <c r="D75">
        <f>VLOOKUP($A75,$A$7:$H$34,4,FALSE)</f>
        <v>0</v>
      </c>
      <c r="E75">
        <f>VLOOKUP($A75,$A$7:$H$34,5,FALSE)</f>
        <v>0</v>
      </c>
      <c r="G75">
        <f>VLOOKUP($A75,$A$7:$H$34,7,FALSE)</f>
        <v>483.90600000000001</v>
      </c>
      <c r="H75">
        <f>VLOOKUP($A75,$A$7:$H$34,8,FALSE)</f>
        <v>0</v>
      </c>
    </row>
    <row r="76" spans="1:22" x14ac:dyDescent="0.25">
      <c r="A76" s="2" t="s">
        <v>44</v>
      </c>
      <c r="G76" s="4" t="s">
        <v>55</v>
      </c>
    </row>
    <row r="77" spans="1:22" x14ac:dyDescent="0.25">
      <c r="A77" s="2" t="s">
        <v>9</v>
      </c>
      <c r="C77" s="4">
        <f>IF(NOT(ISBLANK(C76)),VLOOKUP(C76,$S$45:$U$74,3,FALSE),0)</f>
        <v>0</v>
      </c>
      <c r="D77" s="4">
        <f>IF(NOT(ISBLANK(D76)),VLOOKUP(D76,$S$45:$U$74,3,FALSE),0)</f>
        <v>0</v>
      </c>
      <c r="E77" s="4">
        <f>IF(NOT(ISBLANK(E76)),VLOOKUP(E76,$S$45:$U$74,3,FALSE),0)</f>
        <v>0</v>
      </c>
      <c r="G77" s="4">
        <f>IF(NOT(ISBLANK(G76)),VLOOKUP(G76,$S$45:$U$74,2,FALSE),0)</f>
        <v>12</v>
      </c>
      <c r="H77" s="4">
        <f>IF(NOT(ISBLANK(H76)),VLOOKUP(H76,$S$45:$U$74,2,FALSE),0)</f>
        <v>0</v>
      </c>
    </row>
    <row r="78" spans="1:22" x14ac:dyDescent="0.25">
      <c r="A78" s="2" t="s">
        <v>8</v>
      </c>
      <c r="C78" s="6">
        <f>C77*C75</f>
        <v>0</v>
      </c>
      <c r="D78" s="6">
        <f>D77*D75</f>
        <v>0</v>
      </c>
      <c r="E78" s="6">
        <f>E77*E75</f>
        <v>0</v>
      </c>
      <c r="F78" s="1"/>
      <c r="G78" s="6">
        <f>G75*G77</f>
        <v>5806.8720000000003</v>
      </c>
      <c r="H78" s="6">
        <f>H75*H77</f>
        <v>0</v>
      </c>
      <c r="I78" s="1"/>
      <c r="J78" s="1" t="str">
        <f>A75</f>
        <v>Coal Mine</v>
      </c>
      <c r="K78" s="4">
        <f>SUM(G78:H78)-SUM(C78:E78)</f>
        <v>5806.8720000000003</v>
      </c>
      <c r="L78" s="4">
        <f>SUM(G78:H78)/B75</f>
        <v>30.244125</v>
      </c>
      <c r="M78" s="4">
        <f>K78/B75</f>
        <v>30.244125</v>
      </c>
      <c r="N78" s="3">
        <f>K78/SUM(G78:H78)</f>
        <v>1</v>
      </c>
      <c r="O78" s="1"/>
      <c r="P78" s="4">
        <v>84568</v>
      </c>
      <c r="Q78" s="5">
        <f>P78/K78*B75</f>
        <v>2796.1794232764214</v>
      </c>
    </row>
    <row r="80" spans="1:22" x14ac:dyDescent="0.25">
      <c r="A80" t="s">
        <v>54</v>
      </c>
      <c r="B80">
        <f>VLOOKUP($A80,$A$7:$H$34,2,FALSE)</f>
        <v>21</v>
      </c>
      <c r="C80">
        <f>VLOOKUP($A80,$A$7:$H$34,3,FALSE)</f>
        <v>164.72</v>
      </c>
      <c r="D80">
        <f>VLOOKUP($A80,$A$7:$H$34,4,FALSE)</f>
        <v>0</v>
      </c>
      <c r="E80">
        <f>VLOOKUP($A80,$A$7:$H$34,5,FALSE)</f>
        <v>0</v>
      </c>
      <c r="G80">
        <f>VLOOKUP($A80,$A$7:$H$34,7,FALSE)</f>
        <v>46.658000000000001</v>
      </c>
      <c r="H80">
        <f>VLOOKUP($A80,$A$7:$H$34,8,FALSE)</f>
        <v>0</v>
      </c>
    </row>
    <row r="81" spans="1:17" x14ac:dyDescent="0.25">
      <c r="A81" s="2" t="s">
        <v>44</v>
      </c>
      <c r="C81" s="4" t="s">
        <v>55</v>
      </c>
      <c r="G81" s="4" t="s">
        <v>24</v>
      </c>
    </row>
    <row r="82" spans="1:17" x14ac:dyDescent="0.25">
      <c r="A82" s="2" t="s">
        <v>9</v>
      </c>
      <c r="C82" s="4">
        <f>IF(NOT(ISBLANK(C81)),VLOOKUP(C81,$S$45:$U$74,3,FALSE),0)</f>
        <v>21</v>
      </c>
      <c r="D82" s="4">
        <f>IF(NOT(ISBLANK(D81)),VLOOKUP(D81,$S$45:$U$74,3,FALSE),0)</f>
        <v>0</v>
      </c>
      <c r="E82" s="4">
        <f>IF(NOT(ISBLANK(E81)),VLOOKUP(E81,$S$45:$U$74,3,FALSE),0)</f>
        <v>0</v>
      </c>
      <c r="G82" s="4">
        <f>IF(NOT(ISBLANK(G81)),VLOOKUP(G81,$S$45:$U$74,2,FALSE),0)</f>
        <v>111</v>
      </c>
      <c r="H82" s="4">
        <f>IF(NOT(ISBLANK(H81)),VLOOKUP(H81,$S$45:$U$74,2,FALSE),0)</f>
        <v>0</v>
      </c>
    </row>
    <row r="83" spans="1:17" x14ac:dyDescent="0.25">
      <c r="A83" s="2" t="s">
        <v>8</v>
      </c>
      <c r="C83" s="6">
        <f>C82*C80</f>
        <v>3459.12</v>
      </c>
      <c r="D83" s="6">
        <f>D82*D80</f>
        <v>0</v>
      </c>
      <c r="E83" s="6">
        <f>E82*E80</f>
        <v>0</v>
      </c>
      <c r="F83" s="1"/>
      <c r="G83" s="6">
        <f>G80*G82</f>
        <v>5179.0380000000005</v>
      </c>
      <c r="H83" s="6">
        <f>H80*H82</f>
        <v>0</v>
      </c>
      <c r="I83" s="1"/>
      <c r="J83" s="1" t="str">
        <f>A80</f>
        <v>Coal Processing</v>
      </c>
      <c r="K83" s="4">
        <f>SUM(G83:H83)-SUM(C83:E83)</f>
        <v>1719.9180000000006</v>
      </c>
      <c r="L83" s="4">
        <f>SUM(G83:H83)/B80</f>
        <v>246.62085714285718</v>
      </c>
      <c r="M83" s="4">
        <f>K83/B80</f>
        <v>81.900857142857177</v>
      </c>
      <c r="N83" s="3">
        <f>K83/SUM(G83:H83)</f>
        <v>0.33209217619179476</v>
      </c>
      <c r="O83" s="1"/>
      <c r="P83" s="4">
        <v>146810</v>
      </c>
      <c r="Q83" s="5">
        <f>P83/K83*B80</f>
        <v>1792.5331323935204</v>
      </c>
    </row>
    <row r="85" spans="1:17" x14ac:dyDescent="0.25">
      <c r="A85" t="s">
        <v>56</v>
      </c>
      <c r="B85">
        <f>VLOOKUP($A85,$A$7:$H$34,2,FALSE)</f>
        <v>98</v>
      </c>
      <c r="C85">
        <f>VLOOKUP($A85,$A$7:$H$34,3,FALSE)</f>
        <v>44.600999999999999</v>
      </c>
      <c r="D85">
        <f>VLOOKUP($A85,$A$7:$H$34,4,FALSE)</f>
        <v>0</v>
      </c>
      <c r="E85">
        <f>VLOOKUP($A85,$A$7:$H$34,5,FALSE)</f>
        <v>0</v>
      </c>
      <c r="G85">
        <f>VLOOKUP($A85,$A$7:$H$34,7,FALSE)</f>
        <v>58.566000000000003</v>
      </c>
      <c r="H85">
        <f>VLOOKUP($A85,$A$7:$H$34,8,FALSE)</f>
        <v>0</v>
      </c>
    </row>
    <row r="86" spans="1:17" x14ac:dyDescent="0.25">
      <c r="A86" s="2" t="s">
        <v>44</v>
      </c>
      <c r="C86" s="4" t="s">
        <v>24</v>
      </c>
      <c r="G86" s="4" t="s">
        <v>20</v>
      </c>
    </row>
    <row r="87" spans="1:17" x14ac:dyDescent="0.25">
      <c r="A87" s="2" t="s">
        <v>9</v>
      </c>
      <c r="C87" s="4">
        <f>IF(NOT(ISBLANK(C86)),VLOOKUP(C86,$S$45:$U$74,3,FALSE),0)</f>
        <v>130</v>
      </c>
      <c r="D87" s="4">
        <f>IF(NOT(ISBLANK(D86)),VLOOKUP(D86,$S$45:$U$74,3,FALSE),0)</f>
        <v>0</v>
      </c>
      <c r="E87" s="4">
        <f>IF(NOT(ISBLANK(E86)),VLOOKUP(E86,$S$45:$U$74,3,FALSE),0)</f>
        <v>0</v>
      </c>
      <c r="G87" s="4">
        <f>IF(NOT(ISBLANK(G86)),VLOOKUP(G86,$S$45:$U$74,2,FALSE),0)</f>
        <v>64</v>
      </c>
      <c r="H87" s="4">
        <f>IF(NOT(ISBLANK(H86)),VLOOKUP(H86,$S$45:$U$74,2,FALSE),0)</f>
        <v>0</v>
      </c>
    </row>
    <row r="88" spans="1:17" x14ac:dyDescent="0.25">
      <c r="A88" s="2" t="s">
        <v>8</v>
      </c>
      <c r="C88" s="6">
        <f>C87*C85</f>
        <v>5798.13</v>
      </c>
      <c r="D88" s="6">
        <f>D87*D85</f>
        <v>0</v>
      </c>
      <c r="E88" s="6">
        <f>E87*E85</f>
        <v>0</v>
      </c>
      <c r="F88" s="1"/>
      <c r="G88" s="6">
        <f>G85*G87</f>
        <v>3748.2240000000002</v>
      </c>
      <c r="H88" s="6">
        <f>H85*H87</f>
        <v>0</v>
      </c>
      <c r="I88" s="1"/>
      <c r="J88" s="1" t="str">
        <f>A85</f>
        <v>Brick Factory</v>
      </c>
      <c r="K88" s="4">
        <f>SUM(G88:H88)-SUM(C88:E88)</f>
        <v>-2049.9059999999999</v>
      </c>
      <c r="L88" s="4">
        <f>SUM(G88:H88)/B85</f>
        <v>38.247183673469387</v>
      </c>
      <c r="M88" s="4">
        <f>K88/B85</f>
        <v>-20.917408163265307</v>
      </c>
      <c r="N88" s="3">
        <f>K88/SUM(G88:H88)</f>
        <v>-0.54690061212990471</v>
      </c>
      <c r="O88" s="1"/>
      <c r="P88" s="4">
        <v>56668</v>
      </c>
      <c r="Q88" s="5">
        <f>P88/K88*B85</f>
        <v>-2709.1310528385206</v>
      </c>
    </row>
    <row r="90" spans="1:17" x14ac:dyDescent="0.25">
      <c r="A90" t="s">
        <v>79</v>
      </c>
      <c r="B90">
        <f>VLOOKUP($A90,$A$7:$H$34,2,FALSE)</f>
        <v>24</v>
      </c>
      <c r="C90">
        <f>VLOOKUP($A90,$A$7:$H$34,3,FALSE)</f>
        <v>11.744999999999999</v>
      </c>
      <c r="D90">
        <f>VLOOKUP($A90,$A$7:$H$34,4,FALSE)</f>
        <v>0</v>
      </c>
      <c r="E90">
        <f>VLOOKUP($A90,$A$7:$H$34,5,FALSE)</f>
        <v>0</v>
      </c>
      <c r="G90">
        <f>VLOOKUP($A90,$A$7:$H$34,7,FALSE)</f>
        <v>551.822</v>
      </c>
      <c r="H90">
        <f>VLOOKUP($A90,$A$7:$H$34,8,FALSE)</f>
        <v>0</v>
      </c>
    </row>
    <row r="91" spans="1:17" x14ac:dyDescent="0.25">
      <c r="A91" s="2" t="s">
        <v>44</v>
      </c>
      <c r="C91" s="4" t="s">
        <v>24</v>
      </c>
      <c r="G91" s="4" t="s">
        <v>14</v>
      </c>
    </row>
    <row r="92" spans="1:17" x14ac:dyDescent="0.25">
      <c r="A92" s="2" t="s">
        <v>9</v>
      </c>
      <c r="C92" s="4">
        <f>IF(NOT(ISBLANK(C91)),VLOOKUP(C91,$S$45:$U$74,3,FALSE),0)</f>
        <v>130</v>
      </c>
      <c r="D92" s="4">
        <f>IF(NOT(ISBLANK(D91)),VLOOKUP(D91,$S$45:$U$74,3,FALSE),0)</f>
        <v>0</v>
      </c>
      <c r="E92" s="4">
        <f>IF(NOT(ISBLANK(E91)),VLOOKUP(E91,$S$45:$U$74,3,FALSE),0)</f>
        <v>0</v>
      </c>
      <c r="G92" s="4">
        <f>IF(NOT(ISBLANK(G91)),VLOOKUP(G91,$S$45:$U$74,2,FALSE),0)</f>
        <v>7</v>
      </c>
      <c r="H92" s="4">
        <f>IF(NOT(ISBLANK(H91)),VLOOKUP(H91,$S$45:$U$74,2,FALSE),0)</f>
        <v>0</v>
      </c>
    </row>
    <row r="93" spans="1:17" x14ac:dyDescent="0.25">
      <c r="A93" s="2" t="s">
        <v>8</v>
      </c>
      <c r="C93" s="6">
        <f>C92*C90</f>
        <v>1526.85</v>
      </c>
      <c r="D93" s="6">
        <f>D92*D90</f>
        <v>0</v>
      </c>
      <c r="E93" s="6">
        <f>E92*E90</f>
        <v>0</v>
      </c>
      <c r="F93" s="1"/>
      <c r="G93" s="6">
        <f>G90*G92</f>
        <v>3862.7539999999999</v>
      </c>
      <c r="H93" s="6">
        <f>H90*H92</f>
        <v>0</v>
      </c>
      <c r="I93" s="1"/>
      <c r="J93" s="1" t="str">
        <f>A90</f>
        <v>Coal Power Plant</v>
      </c>
      <c r="K93" s="4">
        <f>SUM(G93:H93)-SUM(C93:E93)</f>
        <v>2335.904</v>
      </c>
      <c r="L93" s="4">
        <f>SUM(G93:H93)/B90</f>
        <v>160.94808333333333</v>
      </c>
      <c r="M93" s="4">
        <f>K93/B90</f>
        <v>97.329333333333338</v>
      </c>
      <c r="N93" s="3">
        <f>K93/SUM(G93:H93)</f>
        <v>0.60472502261339967</v>
      </c>
      <c r="O93" s="1"/>
      <c r="P93" s="4">
        <v>252962</v>
      </c>
      <c r="Q93" s="5">
        <f>P93/K93*B90</f>
        <v>2599.0314670465909</v>
      </c>
    </row>
    <row r="95" spans="1:17" x14ac:dyDescent="0.25">
      <c r="A95" t="s">
        <v>57</v>
      </c>
      <c r="B95">
        <f>VLOOKUP($A95,$A$7:$H$34,2,FALSE)</f>
        <v>39</v>
      </c>
      <c r="C95">
        <f>VLOOKUP($A95,$A$7:$H$34,3,FALSE)</f>
        <v>0</v>
      </c>
      <c r="D95">
        <f>VLOOKUP($A95,$A$7:$H$34,4,FALSE)</f>
        <v>0</v>
      </c>
      <c r="E95">
        <f>VLOOKUP($A95,$A$7:$H$34,5,FALSE)</f>
        <v>0</v>
      </c>
      <c r="G95">
        <f>VLOOKUP($A95,$A$7:$H$34,7,FALSE)</f>
        <v>141.39400000000001</v>
      </c>
      <c r="H95">
        <f>VLOOKUP($A95,$A$7:$H$34,8,FALSE)</f>
        <v>0</v>
      </c>
    </row>
    <row r="96" spans="1:17" x14ac:dyDescent="0.25">
      <c r="A96" s="2" t="s">
        <v>44</v>
      </c>
      <c r="G96" s="4" t="s">
        <v>16</v>
      </c>
    </row>
    <row r="97" spans="1:17" x14ac:dyDescent="0.25">
      <c r="A97" s="2" t="s">
        <v>9</v>
      </c>
      <c r="C97" s="4">
        <f>IF(NOT(ISBLANK(C96)),VLOOKUP(C96,$S$45:$U$74,3,FALSE),0)</f>
        <v>0</v>
      </c>
      <c r="D97" s="4">
        <f>IF(NOT(ISBLANK(D96)),VLOOKUP(D96,$S$45:$U$74,3,FALSE),0)</f>
        <v>0</v>
      </c>
      <c r="E97" s="4">
        <f>IF(NOT(ISBLANK(E96)),VLOOKUP(E96,$S$45:$U$74,3,FALSE),0)</f>
        <v>0</v>
      </c>
      <c r="G97" s="4">
        <f>IF(NOT(ISBLANK(G96)),VLOOKUP(G96,$S$45:$U$74,2,FALSE),0)</f>
        <v>6.6999999999999993</v>
      </c>
      <c r="H97" s="4">
        <f>IF(NOT(ISBLANK(H96)),VLOOKUP(H96,$S$45:$U$74,2,FALSE),0)</f>
        <v>0</v>
      </c>
    </row>
    <row r="98" spans="1:17" x14ac:dyDescent="0.25">
      <c r="A98" s="2" t="s">
        <v>8</v>
      </c>
      <c r="C98" s="6">
        <f>C97*C95</f>
        <v>0</v>
      </c>
      <c r="D98" s="6">
        <f>D97*D95</f>
        <v>0</v>
      </c>
      <c r="E98" s="6">
        <f>E97*E95</f>
        <v>0</v>
      </c>
      <c r="F98" s="1"/>
      <c r="G98" s="6">
        <f>G95*G97</f>
        <v>947.33979999999997</v>
      </c>
      <c r="H98" s="6">
        <f>H95*H97</f>
        <v>0</v>
      </c>
      <c r="I98" s="1"/>
      <c r="J98" s="1" t="str">
        <f>A95</f>
        <v>Quarry</v>
      </c>
      <c r="K98" s="4">
        <f>SUM(G98:H98)-SUM(C98:E98)</f>
        <v>947.33979999999997</v>
      </c>
      <c r="L98" s="4">
        <f>SUM(G98:H98)/B95</f>
        <v>24.290764102564101</v>
      </c>
      <c r="M98" s="4">
        <f>K98/B95</f>
        <v>24.290764102564101</v>
      </c>
      <c r="N98" s="3">
        <f>K98/SUM(G98:H98)</f>
        <v>1</v>
      </c>
      <c r="O98" s="1"/>
      <c r="P98" s="4">
        <v>1641</v>
      </c>
      <c r="Q98" s="5">
        <f>P98/K98*B95</f>
        <v>67.556540958165172</v>
      </c>
    </row>
    <row r="100" spans="1:17" x14ac:dyDescent="0.25">
      <c r="A100" t="s">
        <v>80</v>
      </c>
      <c r="B100">
        <f>VLOOKUP($A100,$A$7:$H$34,2,FALSE)</f>
        <v>15</v>
      </c>
      <c r="C100">
        <f>VLOOKUP($A100,$A$7:$H$34,3,FALSE)</f>
        <v>129.5</v>
      </c>
      <c r="D100">
        <f>VLOOKUP($A100,$A$7:$H$34,4,FALSE)</f>
        <v>0</v>
      </c>
      <c r="E100">
        <f>VLOOKUP($A100,$A$7:$H$34,5,FALSE)</f>
        <v>0</v>
      </c>
      <c r="G100">
        <f>VLOOKUP($A100,$A$7:$H$34,7,FALSE)</f>
        <v>79.468999999999994</v>
      </c>
      <c r="H100">
        <f>VLOOKUP($A100,$A$7:$H$34,8,FALSE)</f>
        <v>0</v>
      </c>
    </row>
    <row r="101" spans="1:17" x14ac:dyDescent="0.25">
      <c r="A101" s="2" t="s">
        <v>44</v>
      </c>
      <c r="C101" s="4" t="s">
        <v>16</v>
      </c>
      <c r="D101" s="4" t="s">
        <v>14</v>
      </c>
      <c r="G101" s="4" t="s">
        <v>15</v>
      </c>
    </row>
    <row r="102" spans="1:17" x14ac:dyDescent="0.25">
      <c r="A102" s="2" t="s">
        <v>9</v>
      </c>
      <c r="C102" s="4">
        <f>IF(NOT(ISBLANK(C101)),VLOOKUP(C101,$S$45:$U$74,3,FALSE),0)</f>
        <v>14.6</v>
      </c>
      <c r="D102" s="4">
        <f>IF(NOT(ISBLANK(D101)),VLOOKUP(D101,$S$45:$U$74,3,FALSE),0)</f>
        <v>7.8</v>
      </c>
      <c r="E102" s="4">
        <f>IF(NOT(ISBLANK(E101)),VLOOKUP(E101,$S$45:$U$74,3,FALSE),0)</f>
        <v>0</v>
      </c>
      <c r="G102" s="4">
        <f>IF(NOT(ISBLANK(G101)),VLOOKUP(G101,$S$45:$U$74,2,FALSE),0)</f>
        <v>24.7</v>
      </c>
      <c r="H102" s="4">
        <f>IF(NOT(ISBLANK(H101)),VLOOKUP(H101,$S$45:$U$74,2,FALSE),0)</f>
        <v>0</v>
      </c>
    </row>
    <row r="103" spans="1:17" x14ac:dyDescent="0.25">
      <c r="A103" s="2" t="s">
        <v>8</v>
      </c>
      <c r="C103" s="6">
        <f>C102*C100</f>
        <v>1890.7</v>
      </c>
      <c r="D103" s="6">
        <f>D102*D100</f>
        <v>0</v>
      </c>
      <c r="E103" s="6">
        <f>E102*E100</f>
        <v>0</v>
      </c>
      <c r="F103" s="1"/>
      <c r="G103" s="6">
        <f>G100*G102</f>
        <v>1962.8842999999997</v>
      </c>
      <c r="H103" s="6">
        <f>H100*H102</f>
        <v>0</v>
      </c>
      <c r="I103" s="1"/>
      <c r="J103" s="1" t="str">
        <f>A100</f>
        <v>Gravel Processing</v>
      </c>
      <c r="K103" s="4">
        <f>SUM(G103:H103)-SUM(C103:E103)</f>
        <v>72.184299999999666</v>
      </c>
      <c r="L103" s="4">
        <f>SUM(G103:H103)/B100</f>
        <v>130.85895333333332</v>
      </c>
      <c r="M103" s="4">
        <f>K103/B100</f>
        <v>4.8122866666666448</v>
      </c>
      <c r="N103" s="3">
        <f>K103/SUM(G103:H103)</f>
        <v>3.6774607652626128E-2</v>
      </c>
      <c r="O103" s="1"/>
      <c r="P103" s="4">
        <v>36782</v>
      </c>
      <c r="Q103" s="5">
        <f>P103/K103*B100</f>
        <v>7643.3518091884598</v>
      </c>
    </row>
    <row r="105" spans="1:17" x14ac:dyDescent="0.25">
      <c r="A105" t="s">
        <v>58</v>
      </c>
      <c r="B105">
        <f>VLOOKUP($A105,$A$7:$H$34,2,FALSE)</f>
        <v>20</v>
      </c>
      <c r="C105">
        <f>VLOOKUP($A105,$A$7:$H$34,3,FALSE)</f>
        <v>18.491</v>
      </c>
      <c r="D105">
        <f>VLOOKUP($A105,$A$7:$H$34,4,FALSE)</f>
        <v>162.685</v>
      </c>
      <c r="E105">
        <f>VLOOKUP($A105,$A$7:$H$34,5,FALSE)</f>
        <v>0</v>
      </c>
      <c r="G105">
        <f>VLOOKUP($A105,$A$7:$H$34,7,FALSE)</f>
        <v>46.542999999999999</v>
      </c>
      <c r="H105">
        <f>VLOOKUP($A105,$A$7:$H$34,8,FALSE)</f>
        <v>0</v>
      </c>
    </row>
    <row r="106" spans="1:17" x14ac:dyDescent="0.25">
      <c r="A106" s="2" t="s">
        <v>44</v>
      </c>
      <c r="C106" s="4" t="s">
        <v>24</v>
      </c>
      <c r="D106" s="4" t="s">
        <v>15</v>
      </c>
      <c r="E106" s="4" t="s">
        <v>14</v>
      </c>
      <c r="G106" s="4" t="s">
        <v>33</v>
      </c>
    </row>
    <row r="107" spans="1:17" x14ac:dyDescent="0.25">
      <c r="A107" s="2" t="s">
        <v>9</v>
      </c>
      <c r="C107" s="4">
        <f>IF(NOT(ISBLANK(C106)),VLOOKUP(C106,$S$45:$U$74,3,FALSE),0)</f>
        <v>130</v>
      </c>
      <c r="D107" s="4">
        <f>IF(NOT(ISBLANK(D106)),VLOOKUP(D106,$S$45:$U$74,3,FALSE),0)</f>
        <v>34.5</v>
      </c>
      <c r="E107" s="4">
        <f>IF(NOT(ISBLANK(E106)),VLOOKUP(E106,$S$45:$U$74,3,FALSE),0)</f>
        <v>7.8</v>
      </c>
      <c r="G107" s="4">
        <f>IF(NOT(ISBLANK(G106)),VLOOKUP(G106,$S$45:$U$74,2,FALSE),0)</f>
        <v>81</v>
      </c>
      <c r="H107" s="4">
        <f>IF(NOT(ISBLANK(H106)),VLOOKUP(H106,$S$45:$U$74,2,FALSE),0)</f>
        <v>0</v>
      </c>
    </row>
    <row r="108" spans="1:17" x14ac:dyDescent="0.25">
      <c r="A108" s="2" t="s">
        <v>8</v>
      </c>
      <c r="C108" s="6">
        <f>C107*C105</f>
        <v>2403.83</v>
      </c>
      <c r="D108" s="6">
        <f>D107*D105</f>
        <v>5612.6324999999997</v>
      </c>
      <c r="E108" s="6">
        <f>E107*E105</f>
        <v>0</v>
      </c>
      <c r="F108" s="1"/>
      <c r="G108" s="6">
        <f>G105*G107</f>
        <v>3769.9829999999997</v>
      </c>
      <c r="H108" s="6">
        <f>H105*H107</f>
        <v>0</v>
      </c>
      <c r="I108" s="1"/>
      <c r="J108" s="1" t="str">
        <f>A105</f>
        <v>Cement Plant</v>
      </c>
      <c r="K108" s="4">
        <f>SUM(G108:H108)-SUM(C108:E108)</f>
        <v>-4246.4794999999995</v>
      </c>
      <c r="L108" s="4">
        <f>SUM(G108:H108)/B105</f>
        <v>188.49914999999999</v>
      </c>
      <c r="M108" s="4">
        <f>K108/B105</f>
        <v>-212.32397499999996</v>
      </c>
      <c r="N108" s="3">
        <f>K108/SUM(G108:H108)</f>
        <v>-1.1263922145007019</v>
      </c>
      <c r="O108" s="1"/>
      <c r="P108" s="4">
        <v>203603</v>
      </c>
      <c r="Q108" s="5">
        <f>P108/K108*B105</f>
        <v>-958.92609395618194</v>
      </c>
    </row>
    <row r="110" spans="1:17" x14ac:dyDescent="0.25">
      <c r="A110" t="s">
        <v>59</v>
      </c>
      <c r="B110">
        <f>VLOOKUP($A110,$A$7:$H$34,2,FALSE)</f>
        <v>4</v>
      </c>
      <c r="C110">
        <f>VLOOKUP($A110,$A$7:$H$34,3,FALSE)</f>
        <v>160.43</v>
      </c>
      <c r="D110">
        <f>VLOOKUP($A110,$A$7:$H$34,4,FALSE)</f>
        <v>28.48</v>
      </c>
      <c r="E110">
        <f>VLOOKUP($A110,$A$7:$H$34,5,FALSE)</f>
        <v>0</v>
      </c>
      <c r="G110">
        <f>VLOOKUP($A110,$A$7:$H$34,7,FALSE)</f>
        <v>112.752</v>
      </c>
      <c r="H110">
        <f>VLOOKUP($A110,$A$7:$H$34,8,FALSE)</f>
        <v>0</v>
      </c>
    </row>
    <row r="111" spans="1:17" x14ac:dyDescent="0.25">
      <c r="A111" s="2" t="s">
        <v>44</v>
      </c>
      <c r="C111" s="4" t="s">
        <v>15</v>
      </c>
      <c r="D111" s="4" t="s">
        <v>33</v>
      </c>
      <c r="E111" s="4" t="s">
        <v>14</v>
      </c>
      <c r="G111" s="4" t="s">
        <v>39</v>
      </c>
    </row>
    <row r="112" spans="1:17" x14ac:dyDescent="0.25">
      <c r="A112" s="2" t="s">
        <v>9</v>
      </c>
      <c r="C112" s="4">
        <f>IF(NOT(ISBLANK(C111)),VLOOKUP(C111,$S$45:$U$74,3,FALSE),0)</f>
        <v>34.5</v>
      </c>
      <c r="D112" s="4">
        <f>IF(NOT(ISBLANK(D111)),VLOOKUP(D111,$S$45:$U$74,3,FALSE),0)</f>
        <v>97</v>
      </c>
      <c r="E112" s="4">
        <f>IF(NOT(ISBLANK(E111)),VLOOKUP(E111,$S$45:$U$74,3,FALSE),0)</f>
        <v>7.8</v>
      </c>
      <c r="G112" s="4">
        <f>IF(NOT(ISBLANK(G111)),VLOOKUP(G111,$S$45:$U$74,2,FALSE),0)</f>
        <v>22</v>
      </c>
      <c r="H112" s="4">
        <f>IF(NOT(ISBLANK(H111)),VLOOKUP(H111,$S$45:$U$74,2,FALSE),0)</f>
        <v>0</v>
      </c>
    </row>
    <row r="113" spans="1:17" x14ac:dyDescent="0.25">
      <c r="A113" s="2" t="s">
        <v>8</v>
      </c>
      <c r="C113" s="6">
        <f>C112*C110</f>
        <v>5534.835</v>
      </c>
      <c r="D113" s="6">
        <f>D112*D110</f>
        <v>2762.56</v>
      </c>
      <c r="E113" s="6">
        <f>E112*E110</f>
        <v>0</v>
      </c>
      <c r="F113" s="1"/>
      <c r="G113" s="6">
        <f>G110*G112</f>
        <v>2480.5439999999999</v>
      </c>
      <c r="H113" s="6">
        <f>H110*H112</f>
        <v>0</v>
      </c>
      <c r="I113" s="1"/>
      <c r="J113" s="1" t="str">
        <f>A110</f>
        <v>Concrete Plant</v>
      </c>
      <c r="K113" s="4">
        <f>SUM(G113:H113)-SUM(C113:E113)</f>
        <v>-5816.8510000000006</v>
      </c>
      <c r="L113" s="4">
        <f>SUM(G113:H113)/B110</f>
        <v>620.13599999999997</v>
      </c>
      <c r="M113" s="4">
        <f>K113/B110</f>
        <v>-1454.2127500000001</v>
      </c>
      <c r="N113" s="3">
        <f>K113/SUM(G113:H113)</f>
        <v>-2.3449900505695527</v>
      </c>
      <c r="O113" s="1"/>
      <c r="P113" s="4">
        <v>34720</v>
      </c>
      <c r="Q113" s="5">
        <f>P113/K113*B110</f>
        <v>-23.875461138681391</v>
      </c>
    </row>
    <row r="115" spans="1:17" x14ac:dyDescent="0.25">
      <c r="A115" t="s">
        <v>60</v>
      </c>
      <c r="B115">
        <f>VLOOKUP($A115,$A$7:$H$34,2,FALSE)</f>
        <v>1</v>
      </c>
      <c r="C115">
        <f>VLOOKUP($A115,$A$7:$H$34,3,FALSE)</f>
        <v>0</v>
      </c>
      <c r="D115">
        <f>VLOOKUP($A115,$A$7:$H$34,4,FALSE)</f>
        <v>0</v>
      </c>
      <c r="E115">
        <f>VLOOKUP($A115,$A$7:$H$34,5,FALSE)</f>
        <v>0</v>
      </c>
      <c r="G115">
        <f>VLOOKUP($A115,$A$7:$H$34,7,FALSE)</f>
        <v>2.3610000000000002</v>
      </c>
      <c r="H115">
        <f>VLOOKUP($A115,$A$7:$H$34,8,FALSE)</f>
        <v>0</v>
      </c>
    </row>
    <row r="116" spans="1:17" x14ac:dyDescent="0.25">
      <c r="A116" s="2" t="s">
        <v>44</v>
      </c>
      <c r="C116" s="4" t="s">
        <v>14</v>
      </c>
      <c r="G116" s="4" t="s">
        <v>22</v>
      </c>
    </row>
    <row r="117" spans="1:17" x14ac:dyDescent="0.25">
      <c r="A117" s="2" t="s">
        <v>9</v>
      </c>
      <c r="C117" s="4">
        <f>IF(NOT(ISBLANK(C116)),VLOOKUP(C116,$S$45:$U$74,3,FALSE),0)</f>
        <v>7.8</v>
      </c>
      <c r="D117" s="4">
        <f>IF(NOT(ISBLANK(D116)),VLOOKUP(D116,$S$45:$U$74,3,FALSE),0)</f>
        <v>0</v>
      </c>
      <c r="E117" s="4">
        <f>IF(NOT(ISBLANK(E116)),VLOOKUP(E116,$S$45:$U$74,3,FALSE),0)</f>
        <v>0</v>
      </c>
      <c r="G117" s="4">
        <f>IF(NOT(ISBLANK(G116)),VLOOKUP(G116,$S$45:$U$74,2,FALSE),0)</f>
        <v>77</v>
      </c>
      <c r="H117" s="4">
        <f>IF(NOT(ISBLANK(H116)),VLOOKUP(H116,$S$45:$U$74,2,FALSE),0)</f>
        <v>0</v>
      </c>
    </row>
    <row r="118" spans="1:17" x14ac:dyDescent="0.25">
      <c r="A118" s="2" t="s">
        <v>8</v>
      </c>
      <c r="C118" s="6">
        <f>C117*C115</f>
        <v>0</v>
      </c>
      <c r="D118" s="6">
        <f>D117*D115</f>
        <v>0</v>
      </c>
      <c r="E118" s="6">
        <f>E117*E115</f>
        <v>0</v>
      </c>
      <c r="F118" s="1"/>
      <c r="G118" s="6">
        <f>G115*G117</f>
        <v>181.79700000000003</v>
      </c>
      <c r="H118" s="6">
        <f>H115*H117</f>
        <v>0</v>
      </c>
      <c r="I118" s="1"/>
      <c r="J118" s="1" t="str">
        <f>A115</f>
        <v>Oil rig</v>
      </c>
      <c r="K118" s="4">
        <f>SUM(G118:H118)-SUM(C118:E118)</f>
        <v>181.79700000000003</v>
      </c>
      <c r="L118" s="4">
        <f>SUM(G118:H118)/B115</f>
        <v>181.79700000000003</v>
      </c>
      <c r="M118" s="4">
        <f>K118/B115</f>
        <v>181.79700000000003</v>
      </c>
      <c r="N118" s="3">
        <f>K118/SUM(G118:H118)</f>
        <v>1</v>
      </c>
      <c r="O118" s="1"/>
      <c r="P118" s="4">
        <v>6069</v>
      </c>
      <c r="Q118" s="5">
        <f>P118/K118*B115</f>
        <v>33.383389164837702</v>
      </c>
    </row>
    <row r="120" spans="1:17" x14ac:dyDescent="0.25">
      <c r="A120" t="s">
        <v>4</v>
      </c>
      <c r="B120">
        <f>VLOOKUP($A120,$A$7:$H$34,2,FALSE)</f>
        <v>439</v>
      </c>
      <c r="C120">
        <f>VLOOKUP($A120,$A$7:$H$34,3,FALSE)</f>
        <v>174.28800000000001</v>
      </c>
      <c r="D120">
        <f>VLOOKUP($A120,$A$7:$H$34,4,FALSE)</f>
        <v>0</v>
      </c>
      <c r="E120">
        <f>VLOOKUP($A120,$A$7:$H$34,5,FALSE)</f>
        <v>0</v>
      </c>
      <c r="G120">
        <f>VLOOKUP($A120,$A$7:$H$34,7,FALSE)</f>
        <v>50.210999999999999</v>
      </c>
      <c r="H120">
        <f>VLOOKUP($A120,$A$7:$H$34,8,FALSE)</f>
        <v>49.460999999999999</v>
      </c>
    </row>
    <row r="121" spans="1:17" x14ac:dyDescent="0.25">
      <c r="A121" s="2" t="s">
        <v>44</v>
      </c>
      <c r="C121" s="4" t="s">
        <v>22</v>
      </c>
      <c r="D121" s="4" t="s">
        <v>14</v>
      </c>
      <c r="G121" s="4" t="s">
        <v>30</v>
      </c>
      <c r="H121" s="4" t="s">
        <v>28</v>
      </c>
    </row>
    <row r="122" spans="1:17" x14ac:dyDescent="0.25">
      <c r="A122" s="2" t="s">
        <v>9</v>
      </c>
      <c r="C122" s="4">
        <f>IF(NOT(ISBLANK(C121)),VLOOKUP(C121,$S$45:$U$74,3,FALSE),0)</f>
        <v>92</v>
      </c>
      <c r="D122" s="4">
        <f>IF(NOT(ISBLANK(D121)),VLOOKUP(D121,$S$45:$U$74,3,FALSE),0)</f>
        <v>7.8</v>
      </c>
      <c r="E122" s="4">
        <f>IF(NOT(ISBLANK(E121)),VLOOKUP(E121,$S$45:$U$74,3,FALSE),0)</f>
        <v>0</v>
      </c>
      <c r="G122" s="4">
        <f>IF(NOT(ISBLANK(G121)),VLOOKUP(G121,$S$45:$U$74,2,FALSE),0)</f>
        <v>434</v>
      </c>
      <c r="H122" s="4">
        <f>IF(NOT(ISBLANK(H121)),VLOOKUP(H121,$S$45:$U$74,2,FALSE),0)</f>
        <v>154</v>
      </c>
    </row>
    <row r="123" spans="1:17" x14ac:dyDescent="0.25">
      <c r="A123" s="2" t="s">
        <v>8</v>
      </c>
      <c r="C123" s="6">
        <f>C122*C120</f>
        <v>16034.496000000001</v>
      </c>
      <c r="D123" s="6">
        <f>D122*D120</f>
        <v>0</v>
      </c>
      <c r="E123" s="6">
        <f>E122*E120</f>
        <v>0</v>
      </c>
      <c r="F123" s="1"/>
      <c r="G123" s="6">
        <f>G120*G122</f>
        <v>21791.574000000001</v>
      </c>
      <c r="H123" s="6">
        <f>H120*H122</f>
        <v>7616.9939999999997</v>
      </c>
      <c r="I123" s="1"/>
      <c r="J123" s="1" t="str">
        <f>A120</f>
        <v>Oil Refinery</v>
      </c>
      <c r="K123" s="4">
        <f>SUM(G123:H123)-SUM(C123:E123)</f>
        <v>13374.071999999998</v>
      </c>
      <c r="L123" s="4">
        <f>SUM(G123:H123)/B120</f>
        <v>66.989904328018227</v>
      </c>
      <c r="M123" s="4">
        <f>K123/B120</f>
        <v>30.46485649202733</v>
      </c>
      <c r="N123" s="3">
        <f>K123/SUM(G123:H123)</f>
        <v>0.45476787581088607</v>
      </c>
      <c r="O123" s="1"/>
      <c r="P123" s="4">
        <v>296868</v>
      </c>
      <c r="Q123" s="5">
        <f>P123/K123*B120</f>
        <v>9744.6052331705723</v>
      </c>
    </row>
    <row r="125" spans="1:17" x14ac:dyDescent="0.25">
      <c r="A125" t="s">
        <v>82</v>
      </c>
      <c r="B125">
        <f>VLOOKUP($A125,$A$7:$H$34,2,FALSE)</f>
        <v>4</v>
      </c>
      <c r="C125">
        <f>VLOOKUP($A125,$A$7:$H$34,3,FALSE)</f>
        <v>91.778000000000006</v>
      </c>
      <c r="D125">
        <f>VLOOKUP($A125,$A$7:$H$34,4,FALSE)</f>
        <v>17.757000000000001</v>
      </c>
      <c r="E125">
        <f>VLOOKUP($A125,$A$7:$H$34,5,FALSE)</f>
        <v>10.627000000000001</v>
      </c>
      <c r="G125">
        <f>VLOOKUP($A125,$A$7:$H$34,7,FALSE)</f>
        <v>98.99</v>
      </c>
      <c r="H125">
        <f>VLOOKUP($A125,$A$7:$H$34,8,FALSE)</f>
        <v>0</v>
      </c>
    </row>
    <row r="126" spans="1:17" x14ac:dyDescent="0.25">
      <c r="A126" s="2" t="s">
        <v>44</v>
      </c>
      <c r="C126" s="4" t="s">
        <v>15</v>
      </c>
      <c r="D126" s="4" t="s">
        <v>28</v>
      </c>
      <c r="E126" s="4" t="s">
        <v>14</v>
      </c>
      <c r="G126" s="4" t="s">
        <v>38</v>
      </c>
    </row>
    <row r="127" spans="1:17" x14ac:dyDescent="0.25">
      <c r="A127" s="2" t="s">
        <v>9</v>
      </c>
      <c r="C127" s="4">
        <f>IF(NOT(ISBLANK(C126)),VLOOKUP(C126,$S$45:$U$74,3,FALSE),0)</f>
        <v>34.5</v>
      </c>
      <c r="D127" s="4">
        <f>IF(NOT(ISBLANK(D126)),VLOOKUP(D126,$S$45:$U$74,3,FALSE),0)</f>
        <v>840</v>
      </c>
      <c r="E127" s="4">
        <f>IF(NOT(ISBLANK(E126)),VLOOKUP(E126,$S$45:$U$74,3,FALSE),0)</f>
        <v>7.8</v>
      </c>
      <c r="G127" s="4">
        <f>IF(NOT(ISBLANK(G126)),VLOOKUP(G126,$S$45:$U$74,2,FALSE),0)</f>
        <v>72</v>
      </c>
      <c r="H127" s="4">
        <f>IF(NOT(ISBLANK(H126)),VLOOKUP(H126,$S$45:$U$74,2,FALSE),0)</f>
        <v>0</v>
      </c>
    </row>
    <row r="128" spans="1:17" x14ac:dyDescent="0.25">
      <c r="A128" s="2" t="s">
        <v>8</v>
      </c>
      <c r="C128" s="6">
        <f>C127*C125</f>
        <v>3166.3410000000003</v>
      </c>
      <c r="D128" s="6">
        <f>D127*D125</f>
        <v>14915.880000000001</v>
      </c>
      <c r="E128" s="6">
        <f>E127*E125</f>
        <v>82.890600000000006</v>
      </c>
      <c r="F128" s="1"/>
      <c r="G128" s="6">
        <f>G125*G127</f>
        <v>7127.28</v>
      </c>
      <c r="H128" s="6">
        <f>H125*H127</f>
        <v>0</v>
      </c>
      <c r="I128" s="1"/>
      <c r="J128" s="1" t="str">
        <f>A125</f>
        <v>Asphalt Plant</v>
      </c>
      <c r="K128" s="4">
        <f>SUM(G128:H128)-SUM(C128:E128)</f>
        <v>-11037.831600000001</v>
      </c>
      <c r="L128" s="4">
        <f>SUM(G128:H128)/B125</f>
        <v>1781.82</v>
      </c>
      <c r="M128" s="4">
        <f>K128/B125</f>
        <v>-2759.4579000000003</v>
      </c>
      <c r="N128" s="3">
        <f>K128/SUM(G128:H128)</f>
        <v>-1.5486737717614576</v>
      </c>
      <c r="O128" s="1"/>
      <c r="P128" s="4">
        <v>38940</v>
      </c>
      <c r="Q128" s="5">
        <f>P128/K128*B125</f>
        <v>-14.111467328419831</v>
      </c>
    </row>
    <row r="130" spans="1:17" x14ac:dyDescent="0.25">
      <c r="A130" t="s">
        <v>61</v>
      </c>
      <c r="B130">
        <f>VLOOKUP($A130,$A$7:$H$34,2,FALSE)</f>
        <v>7</v>
      </c>
      <c r="C130">
        <f>VLOOKUP($A130,$A$7:$H$34,3,FALSE)</f>
        <v>1.4019999999999999</v>
      </c>
      <c r="D130">
        <f>VLOOKUP($A130,$A$7:$H$34,4,FALSE)</f>
        <v>0</v>
      </c>
      <c r="E130">
        <f>VLOOKUP($A130,$A$7:$H$34,5,FALSE)</f>
        <v>0</v>
      </c>
      <c r="G130">
        <f>VLOOKUP($A130,$A$7:$H$34,7,FALSE)</f>
        <v>0.27100000000000002</v>
      </c>
      <c r="H130">
        <f>VLOOKUP($A130,$A$7:$H$34,8,FALSE)</f>
        <v>0</v>
      </c>
    </row>
    <row r="131" spans="1:17" x14ac:dyDescent="0.25">
      <c r="A131" s="2" t="s">
        <v>44</v>
      </c>
      <c r="C131" s="4" t="s">
        <v>17</v>
      </c>
      <c r="G131" s="4" t="s">
        <v>37</v>
      </c>
    </row>
    <row r="132" spans="1:17" x14ac:dyDescent="0.25">
      <c r="A132" s="2" t="s">
        <v>9</v>
      </c>
      <c r="C132" s="4">
        <f>IF(NOT(ISBLANK(C131)),VLOOKUP(C131,$S$45:$U$74,3,FALSE),0)</f>
        <v>34.299999999999997</v>
      </c>
      <c r="D132" s="4">
        <f>IF(NOT(ISBLANK(D131)),VLOOKUP(D131,$S$45:$U$74,3,FALSE),0)</f>
        <v>0</v>
      </c>
      <c r="E132" s="4">
        <f>IF(NOT(ISBLANK(E131)),VLOOKUP(E131,$S$45:$U$74,3,FALSE),0)</f>
        <v>0</v>
      </c>
      <c r="G132" s="4">
        <f>IF(NOT(ISBLANK(G131)),VLOOKUP(G131,$S$45:$U$74,2,FALSE),0)</f>
        <v>618</v>
      </c>
      <c r="H132" s="4">
        <f>IF(NOT(ISBLANK(H131)),VLOOKUP(H131,$S$45:$U$74,2,FALSE),0)</f>
        <v>0</v>
      </c>
    </row>
    <row r="133" spans="1:17" x14ac:dyDescent="0.25">
      <c r="A133" s="2" t="s">
        <v>8</v>
      </c>
      <c r="C133" s="6">
        <f>C132*C130</f>
        <v>48.088599999999992</v>
      </c>
      <c r="D133" s="6">
        <f>D132*D130</f>
        <v>0</v>
      </c>
      <c r="E133" s="6">
        <f>E132*E130</f>
        <v>0</v>
      </c>
      <c r="F133" s="1"/>
      <c r="G133" s="6">
        <f>G130*G132</f>
        <v>167.47800000000001</v>
      </c>
      <c r="H133" s="6">
        <f>H130*H132</f>
        <v>0</v>
      </c>
      <c r="I133" s="1"/>
      <c r="J133" s="1" t="str">
        <f>A130</f>
        <v>Livestock Farm</v>
      </c>
      <c r="K133" s="4">
        <f>SUM(G133:H133)-SUM(C133:E133)</f>
        <v>119.38940000000002</v>
      </c>
      <c r="L133" s="4">
        <f>SUM(G133:H133)/B130</f>
        <v>23.925428571428572</v>
      </c>
      <c r="M133" s="4">
        <f>K133/B130</f>
        <v>17.055628571428574</v>
      </c>
      <c r="N133" s="3">
        <f>K133/SUM(G133:H133)</f>
        <v>0.71286616749662657</v>
      </c>
      <c r="O133" s="1"/>
      <c r="P133" s="4">
        <v>47934</v>
      </c>
      <c r="Q133" s="5">
        <f>P133/K133*B130</f>
        <v>2810.4505090066614</v>
      </c>
    </row>
    <row r="135" spans="1:17" x14ac:dyDescent="0.25">
      <c r="A135" t="s">
        <v>62</v>
      </c>
      <c r="B135">
        <f>VLOOKUP($A135,$A$7:$H$34,2,FALSE)</f>
        <v>6</v>
      </c>
      <c r="C135">
        <f>VLOOKUP($A135,$A$7:$H$34,3,FALSE)</f>
        <v>38.423999999999999</v>
      </c>
      <c r="D135">
        <f>VLOOKUP($A135,$A$7:$H$34,4,FALSE)</f>
        <v>0</v>
      </c>
      <c r="E135">
        <f>VLOOKUP($A135,$A$7:$H$34,5,FALSE)</f>
        <v>0</v>
      </c>
      <c r="G135">
        <f>VLOOKUP($A135,$A$7:$H$34,7,FALSE)</f>
        <v>11.105</v>
      </c>
      <c r="H135">
        <f>VLOOKUP($A135,$A$7:$H$34,8,FALSE)</f>
        <v>0</v>
      </c>
    </row>
    <row r="136" spans="1:17" x14ac:dyDescent="0.25">
      <c r="A136" s="2" t="s">
        <v>44</v>
      </c>
      <c r="C136" s="4" t="s">
        <v>37</v>
      </c>
      <c r="G136" s="4" t="s">
        <v>36</v>
      </c>
    </row>
    <row r="137" spans="1:17" x14ac:dyDescent="0.25">
      <c r="A137" s="2" t="s">
        <v>9</v>
      </c>
      <c r="C137" s="4">
        <f>IF(NOT(ISBLANK(C136)),VLOOKUP(C136,$S$45:$U$74,3,FALSE),0)</f>
        <v>690</v>
      </c>
      <c r="D137" s="4">
        <f>IF(NOT(ISBLANK(D136)),VLOOKUP(D136,$S$45:$U$74,3,FALSE),0)</f>
        <v>0</v>
      </c>
      <c r="E137" s="4">
        <f>IF(NOT(ISBLANK(E136)),VLOOKUP(E136,$S$45:$U$74,3,FALSE),0)</f>
        <v>0</v>
      </c>
      <c r="G137" s="4">
        <f>IF(NOT(ISBLANK(G136)),VLOOKUP(G136,$S$45:$U$74,2,FALSE),0)</f>
        <v>662</v>
      </c>
      <c r="H137" s="4">
        <f>IF(NOT(ISBLANK(H136)),VLOOKUP(H136,$S$45:$U$74,2,FALSE),0)</f>
        <v>0</v>
      </c>
    </row>
    <row r="138" spans="1:17" x14ac:dyDescent="0.25">
      <c r="A138" s="2" t="s">
        <v>8</v>
      </c>
      <c r="C138" s="6">
        <f>C137*C135</f>
        <v>26512.560000000001</v>
      </c>
      <c r="D138" s="6">
        <f>D137*D135</f>
        <v>0</v>
      </c>
      <c r="E138" s="6">
        <f>E137*E135</f>
        <v>0</v>
      </c>
      <c r="F138" s="1"/>
      <c r="G138" s="6">
        <f>G135*G137</f>
        <v>7351.51</v>
      </c>
      <c r="H138" s="6">
        <f>H135*H137</f>
        <v>0</v>
      </c>
      <c r="I138" s="1"/>
      <c r="J138" s="1" t="str">
        <f>A135</f>
        <v>Slaughterhouse</v>
      </c>
      <c r="K138" s="4">
        <f>SUM(G138:H138)-SUM(C138:E138)</f>
        <v>-19161.050000000003</v>
      </c>
      <c r="L138" s="4">
        <f>SUM(G138:H138)/B135</f>
        <v>1225.2516666666668</v>
      </c>
      <c r="M138" s="4">
        <f>K138/B135</f>
        <v>-3193.5083333333337</v>
      </c>
      <c r="N138" s="3">
        <f>K138/SUM(G138:H138)</f>
        <v>-2.6064101116641347</v>
      </c>
      <c r="O138" s="1"/>
      <c r="P138" s="4">
        <v>35621</v>
      </c>
      <c r="Q138" s="5">
        <f>P138/K138*B135</f>
        <v>-11.154190401882985</v>
      </c>
    </row>
    <row r="140" spans="1:17" x14ac:dyDescent="0.25">
      <c r="A140" t="s">
        <v>7</v>
      </c>
      <c r="B140">
        <f>VLOOKUP($A140,$A$7:$H$34,2,FALSE)</f>
        <v>178</v>
      </c>
      <c r="C140">
        <f>VLOOKUP($A140,$A$7:$H$34,3,FALSE)</f>
        <v>37.823999999999998</v>
      </c>
      <c r="D140">
        <f>VLOOKUP($A140,$A$7:$H$34,4,FALSE)</f>
        <v>0</v>
      </c>
      <c r="E140">
        <f>VLOOKUP($A140,$A$7:$H$34,5,FALSE)</f>
        <v>0</v>
      </c>
      <c r="G140">
        <f>VLOOKUP($A140,$A$7:$H$34,7,FALSE)</f>
        <v>40.792999999999999</v>
      </c>
      <c r="H140">
        <f>VLOOKUP($A140,$A$7:$H$34,8,FALSE)</f>
        <v>0</v>
      </c>
    </row>
    <row r="141" spans="1:17" x14ac:dyDescent="0.25">
      <c r="A141" s="2" t="s">
        <v>44</v>
      </c>
      <c r="C141" s="4" t="s">
        <v>17</v>
      </c>
      <c r="G141" s="4" t="s">
        <v>34</v>
      </c>
    </row>
    <row r="142" spans="1:17" x14ac:dyDescent="0.25">
      <c r="A142" s="2" t="s">
        <v>9</v>
      </c>
      <c r="C142" s="4">
        <f>IF(NOT(ISBLANK(C141)),VLOOKUP(C141,$S$45:$U$74,3,FALSE),0)</f>
        <v>34.299999999999997</v>
      </c>
      <c r="D142" s="4">
        <f>IF(NOT(ISBLANK(D141)),VLOOKUP(D141,$S$45:$U$74,3,FALSE),0)</f>
        <v>0</v>
      </c>
      <c r="E142" s="4">
        <f>IF(NOT(ISBLANK(E141)),VLOOKUP(E141,$S$45:$U$74,3,FALSE),0)</f>
        <v>0</v>
      </c>
      <c r="G142" s="4">
        <f>IF(NOT(ISBLANK(G141)),VLOOKUP(G141,$S$45:$U$74,2,FALSE),0)</f>
        <v>350</v>
      </c>
      <c r="H142" s="4">
        <f>IF(NOT(ISBLANK(H141)),VLOOKUP(H141,$S$45:$U$74,2,FALSE),0)</f>
        <v>0</v>
      </c>
    </row>
    <row r="143" spans="1:17" x14ac:dyDescent="0.25">
      <c r="A143" s="2" t="s">
        <v>8</v>
      </c>
      <c r="C143" s="6">
        <f>C142*C140</f>
        <v>1297.3631999999998</v>
      </c>
      <c r="D143" s="6">
        <f t="shared" ref="D143" si="3">D142*D140</f>
        <v>0</v>
      </c>
      <c r="E143" s="6">
        <f t="shared" ref="E143" si="4">E142*E140</f>
        <v>0</v>
      </c>
      <c r="F143" s="1"/>
      <c r="G143" s="6">
        <f>G140*G142</f>
        <v>14277.55</v>
      </c>
      <c r="H143" s="6">
        <f>H140*H142</f>
        <v>0</v>
      </c>
      <c r="I143" s="1"/>
      <c r="J143" s="1" t="str">
        <f>A140</f>
        <v>Food Factory</v>
      </c>
      <c r="K143" s="4">
        <f>SUM(G143:H143)-SUM(C143:E143)</f>
        <v>12980.186799999999</v>
      </c>
      <c r="L143" s="4">
        <f>SUM(G143:H143)/B140</f>
        <v>80.21095505617977</v>
      </c>
      <c r="M143" s="4">
        <f>K143/B140</f>
        <v>72.92239775280899</v>
      </c>
      <c r="N143" s="3">
        <f>K143/SUM(G143:H143)</f>
        <v>0.90913264530679283</v>
      </c>
      <c r="O143" s="1"/>
      <c r="P143" s="4">
        <v>71504</v>
      </c>
      <c r="Q143" s="5">
        <f>P143/K143*B140</f>
        <v>980.54921674933075</v>
      </c>
    </row>
    <row r="145" spans="1:17" x14ac:dyDescent="0.25">
      <c r="A145" t="s">
        <v>63</v>
      </c>
      <c r="B145">
        <f>VLOOKUP($A145,$A$7:$H$34,2,FALSE)</f>
        <v>80</v>
      </c>
      <c r="C145">
        <f>VLOOKUP($A145,$A$7:$H$34,3,FALSE)</f>
        <v>24.14</v>
      </c>
      <c r="D145">
        <f>VLOOKUP($A145,$A$7:$H$34,4,FALSE)</f>
        <v>0</v>
      </c>
      <c r="E145">
        <f>VLOOKUP($A145,$A$7:$H$34,5,FALSE)</f>
        <v>0</v>
      </c>
      <c r="G145">
        <f>VLOOKUP($A145,$A$7:$H$34,7,FALSE)</f>
        <v>4.6479999999999997</v>
      </c>
      <c r="H145">
        <f>VLOOKUP($A145,$A$7:$H$34,8,FALSE)</f>
        <v>0</v>
      </c>
    </row>
    <row r="146" spans="1:17" x14ac:dyDescent="0.25">
      <c r="A146" s="2" t="s">
        <v>44</v>
      </c>
      <c r="C146" s="4" t="s">
        <v>17</v>
      </c>
      <c r="D146" s="4" t="s">
        <v>14</v>
      </c>
      <c r="G146" s="4" t="s">
        <v>32</v>
      </c>
    </row>
    <row r="147" spans="1:17" x14ac:dyDescent="0.25">
      <c r="A147" s="2" t="s">
        <v>9</v>
      </c>
      <c r="C147" s="4">
        <f>IF(NOT(ISBLANK(C146)),VLOOKUP(C146,$S$45:$U$74,3,FALSE),0)</f>
        <v>34.299999999999997</v>
      </c>
      <c r="D147" s="4">
        <f>IF(NOT(ISBLANK(D146)),VLOOKUP(D146,$S$45:$U$74,3,FALSE),0)</f>
        <v>7.8</v>
      </c>
      <c r="E147" s="4">
        <f>IF(NOT(ISBLANK(E146)),VLOOKUP(E146,$S$45:$U$74,3,FALSE),0)</f>
        <v>0</v>
      </c>
      <c r="G147" s="4">
        <f>IF(NOT(ISBLANK(G146)),VLOOKUP(G146,$S$45:$U$74,2,FALSE),0)</f>
        <v>980</v>
      </c>
      <c r="H147" s="4">
        <f>IF(NOT(ISBLANK(H146)),VLOOKUP(H146,$S$45:$U$74,2,FALSE),0)</f>
        <v>0</v>
      </c>
    </row>
    <row r="148" spans="1:17" x14ac:dyDescent="0.25">
      <c r="A148" s="2" t="s">
        <v>8</v>
      </c>
      <c r="C148" s="6">
        <f>C147*C145</f>
        <v>828.00199999999995</v>
      </c>
      <c r="D148" s="6">
        <f>D147*D145</f>
        <v>0</v>
      </c>
      <c r="E148" s="6">
        <f>E147*E145</f>
        <v>0</v>
      </c>
      <c r="F148" s="1"/>
      <c r="G148" s="6">
        <f>G145*G147</f>
        <v>4555.04</v>
      </c>
      <c r="H148" s="6">
        <f>H145*H147</f>
        <v>0</v>
      </c>
      <c r="I148" s="1"/>
      <c r="J148" s="1" t="str">
        <f>A145</f>
        <v>Distillery</v>
      </c>
      <c r="K148" s="4">
        <f>SUM(G148:H148)-SUM(C148:E148)</f>
        <v>3727.038</v>
      </c>
      <c r="L148" s="4">
        <f>SUM(G148:H148)/B145</f>
        <v>56.938000000000002</v>
      </c>
      <c r="M148" s="4">
        <f>K148/B145</f>
        <v>46.587975</v>
      </c>
      <c r="N148" s="3">
        <f>K148/SUM(G148:H148)</f>
        <v>0.81822289156626504</v>
      </c>
      <c r="O148" s="1"/>
      <c r="P148" s="4">
        <v>37951</v>
      </c>
      <c r="Q148" s="5">
        <f>P148/K148*B145</f>
        <v>814.60934930097312</v>
      </c>
    </row>
    <row r="150" spans="1:17" x14ac:dyDescent="0.25">
      <c r="A150" t="s">
        <v>64</v>
      </c>
      <c r="B150" t="e">
        <f>VLOOKUP($A150,$A$7:$H$34,2,FALSE)</f>
        <v>#N/A</v>
      </c>
      <c r="C150" t="e">
        <f>VLOOKUP($A150,$A$7:$H$34,3,FALSE)</f>
        <v>#N/A</v>
      </c>
      <c r="D150" t="e">
        <f>VLOOKUP($A150,$A$7:$H$34,4,FALSE)</f>
        <v>#N/A</v>
      </c>
      <c r="E150" t="e">
        <f>VLOOKUP($A150,$A$7:$H$34,5,FALSE)</f>
        <v>#N/A</v>
      </c>
      <c r="G150" t="e">
        <f>VLOOKUP($A150,$A$7:$H$34,7,FALSE)</f>
        <v>#N/A</v>
      </c>
      <c r="H150" t="e">
        <f>VLOOKUP($A150,$A$7:$H$34,8,FALSE)</f>
        <v>#N/A</v>
      </c>
    </row>
    <row r="151" spans="1:17" x14ac:dyDescent="0.25">
      <c r="A151" s="2" t="s">
        <v>44</v>
      </c>
      <c r="C151" s="4" t="s">
        <v>15</v>
      </c>
      <c r="D151" s="4" t="s">
        <v>21</v>
      </c>
      <c r="E151" s="4" t="s">
        <v>22</v>
      </c>
      <c r="G151" s="4" t="s">
        <v>23</v>
      </c>
    </row>
    <row r="152" spans="1:17" x14ac:dyDescent="0.25">
      <c r="A152" s="2" t="s">
        <v>9</v>
      </c>
      <c r="C152" s="4">
        <f>IF(NOT(ISBLANK(C151)),VLOOKUP(C151,$S$45:$U$74,3,FALSE),0)</f>
        <v>34.5</v>
      </c>
      <c r="D152" s="4">
        <f>IF(NOT(ISBLANK(D151)),VLOOKUP(D151,$S$45:$U$74,3,FALSE),0)</f>
        <v>35</v>
      </c>
      <c r="E152" s="4">
        <f>IF(NOT(ISBLANK(E151)),VLOOKUP(E151,$S$45:$U$74,3,FALSE),0)</f>
        <v>92</v>
      </c>
      <c r="G152" s="4">
        <f>IF(NOT(ISBLANK(G151)),VLOOKUP(G151,$S$45:$U$74,2,FALSE),0)</f>
        <v>3414</v>
      </c>
      <c r="H152" s="4">
        <f>IF(NOT(ISBLANK(H151)),VLOOKUP(H151,$S$45:$U$74,2,FALSE),0)</f>
        <v>0</v>
      </c>
    </row>
    <row r="153" spans="1:17" x14ac:dyDescent="0.25">
      <c r="A153" s="2" t="s">
        <v>8</v>
      </c>
      <c r="C153" s="6" t="e">
        <f>C152*C150</f>
        <v>#N/A</v>
      </c>
      <c r="D153" s="6" t="e">
        <f>D152*D150</f>
        <v>#N/A</v>
      </c>
      <c r="E153" s="6" t="e">
        <f>E152*E150</f>
        <v>#N/A</v>
      </c>
      <c r="F153" s="1"/>
      <c r="G153" s="6" t="e">
        <f>G150*G152</f>
        <v>#N/A</v>
      </c>
      <c r="H153" s="6" t="e">
        <f>H150*H152</f>
        <v>#N/A</v>
      </c>
      <c r="I153" s="1"/>
      <c r="J153" s="1" t="str">
        <f>A150</f>
        <v>Chemical Plant</v>
      </c>
      <c r="K153" s="4" t="e">
        <f>SUM(G153:H153)-SUM(C153:E153)</f>
        <v>#N/A</v>
      </c>
      <c r="L153" s="4" t="e">
        <f>SUM(G153:H153)/B150</f>
        <v>#N/A</v>
      </c>
      <c r="M153" s="4" t="e">
        <f>K153/B150</f>
        <v>#N/A</v>
      </c>
      <c r="N153" s="3" t="e">
        <f>K153/SUM(G153:H153)</f>
        <v>#N/A</v>
      </c>
      <c r="O153" s="1"/>
      <c r="P153" s="4">
        <v>0</v>
      </c>
      <c r="Q153" s="5" t="e">
        <f>P153/K153*B150</f>
        <v>#N/A</v>
      </c>
    </row>
    <row r="155" spans="1:17" x14ac:dyDescent="0.25">
      <c r="A155" t="s">
        <v>65</v>
      </c>
      <c r="B155" t="e">
        <f>VLOOKUP($A155,$A$7:$H$34,2,FALSE)</f>
        <v>#N/A</v>
      </c>
      <c r="C155" t="e">
        <f>VLOOKUP($A155,$A$7:$H$34,3,FALSE)</f>
        <v>#N/A</v>
      </c>
      <c r="D155" t="e">
        <f>VLOOKUP($A155,$A$7:$H$34,4,FALSE)</f>
        <v>#N/A</v>
      </c>
      <c r="E155" t="e">
        <f>VLOOKUP($A155,$A$7:$H$34,5,FALSE)</f>
        <v>#N/A</v>
      </c>
      <c r="G155" t="e">
        <f>VLOOKUP($A155,$A$7:$H$34,7,FALSE)</f>
        <v>#N/A</v>
      </c>
      <c r="H155" t="e">
        <f>VLOOKUP($A155,$A$7:$H$34,8,FALSE)</f>
        <v>#N/A</v>
      </c>
    </row>
    <row r="156" spans="1:17" x14ac:dyDescent="0.25">
      <c r="A156" s="2" t="s">
        <v>44</v>
      </c>
      <c r="C156" s="4" t="s">
        <v>23</v>
      </c>
      <c r="D156" s="4" t="s">
        <v>22</v>
      </c>
      <c r="E156" s="4" t="s">
        <v>14</v>
      </c>
      <c r="G156" s="4" t="s">
        <v>42</v>
      </c>
    </row>
    <row r="157" spans="1:17" x14ac:dyDescent="0.25">
      <c r="A157" s="2" t="s">
        <v>9</v>
      </c>
      <c r="C157" s="4">
        <f>IF(NOT(ISBLANK(C156)),VLOOKUP(C156,$S$45:$U$74,3,FALSE),0)</f>
        <v>3781</v>
      </c>
      <c r="D157" s="4">
        <f>IF(NOT(ISBLANK(D156)),VLOOKUP(D156,$S$45:$U$74,3,FALSE),0)</f>
        <v>92</v>
      </c>
      <c r="E157" s="4">
        <f>IF(NOT(ISBLANK(E156)),VLOOKUP(E156,$S$45:$U$74,3,FALSE),0)</f>
        <v>7.8</v>
      </c>
      <c r="G157" s="4">
        <f>IF(NOT(ISBLANK(G156)),VLOOKUP(G156,$S$45:$U$74,2,FALSE),0)</f>
        <v>1321</v>
      </c>
      <c r="H157" s="4">
        <f>IF(NOT(ISBLANK(H156)),VLOOKUP(H156,$S$45:$U$74,2,FALSE),0)</f>
        <v>0</v>
      </c>
    </row>
    <row r="158" spans="1:17" x14ac:dyDescent="0.25">
      <c r="A158" s="2" t="s">
        <v>8</v>
      </c>
      <c r="C158" s="6" t="e">
        <f>C157*C155</f>
        <v>#N/A</v>
      </c>
      <c r="D158" s="6" t="e">
        <f>D157*D155</f>
        <v>#N/A</v>
      </c>
      <c r="E158" s="6" t="e">
        <f>E157*E155</f>
        <v>#N/A</v>
      </c>
      <c r="F158" s="1"/>
      <c r="G158" s="6" t="e">
        <f>G155*G157</f>
        <v>#N/A</v>
      </c>
      <c r="H158" s="6" t="e">
        <f>H155*H157</f>
        <v>#N/A</v>
      </c>
      <c r="I158" s="1"/>
      <c r="J158" s="1" t="str">
        <f>A155</f>
        <v>Plastics Factory</v>
      </c>
      <c r="K158" s="4" t="e">
        <f>SUM(G158:H158)-SUM(C158:E158)</f>
        <v>#N/A</v>
      </c>
      <c r="L158" s="4" t="e">
        <f>SUM(G158:H158)/B155</f>
        <v>#N/A</v>
      </c>
      <c r="M158" s="4" t="e">
        <f>K158/B155</f>
        <v>#N/A</v>
      </c>
      <c r="N158" s="3" t="e">
        <f>K158/SUM(G158:H158)</f>
        <v>#N/A</v>
      </c>
      <c r="O158" s="1"/>
      <c r="P158" s="4">
        <v>33226</v>
      </c>
      <c r="Q158" s="5" t="e">
        <f>P158/K158*B155</f>
        <v>#N/A</v>
      </c>
    </row>
    <row r="160" spans="1:17" x14ac:dyDescent="0.25">
      <c r="A160" t="s">
        <v>83</v>
      </c>
      <c r="B160">
        <f>VLOOKUP($A160,$A$7:$H$34,2,FALSE)</f>
        <v>45</v>
      </c>
      <c r="C160">
        <f>VLOOKUP($A160,$A$7:$H$34,3,FALSE)</f>
        <v>9.3070000000000004</v>
      </c>
      <c r="D160">
        <f>VLOOKUP($A160,$A$7:$H$34,4,FALSE)</f>
        <v>0.22500000000000001</v>
      </c>
      <c r="E160">
        <f>VLOOKUP($A160,$A$7:$H$34,5,FALSE)</f>
        <v>0</v>
      </c>
      <c r="G160">
        <f>VLOOKUP($A160,$A$7:$H$34,7,FALSE)</f>
        <v>0.43</v>
      </c>
      <c r="H160">
        <f>VLOOKUP($A160,$A$7:$H$34,8,FALSE)</f>
        <v>0</v>
      </c>
    </row>
    <row r="161" spans="1:17" x14ac:dyDescent="0.25">
      <c r="A161" s="2" t="s">
        <v>44</v>
      </c>
      <c r="C161" s="4" t="s">
        <v>17</v>
      </c>
      <c r="D161" s="4" t="s">
        <v>23</v>
      </c>
      <c r="E161" s="4" t="s">
        <v>14</v>
      </c>
      <c r="G161" s="4" t="s">
        <v>31</v>
      </c>
    </row>
    <row r="162" spans="1:17" x14ac:dyDescent="0.25">
      <c r="A162" s="2" t="s">
        <v>9</v>
      </c>
      <c r="C162" s="4">
        <f>IF(NOT(ISBLANK(C161)),VLOOKUP(C161,$S$45:$U$74,3,FALSE),0)</f>
        <v>34.299999999999997</v>
      </c>
      <c r="D162" s="4">
        <f>IF(NOT(ISBLANK(D161)),VLOOKUP(D161,$S$45:$U$74,3,FALSE),0)</f>
        <v>3781</v>
      </c>
      <c r="E162" s="4">
        <f>IF(NOT(ISBLANK(E161)),VLOOKUP(E161,$S$45:$U$74,3,FALSE),0)</f>
        <v>7.8</v>
      </c>
      <c r="G162" s="4">
        <f>IF(NOT(ISBLANK(G161)),VLOOKUP(G161,$S$45:$U$74,2,FALSE),0)</f>
        <v>998</v>
      </c>
      <c r="H162" s="4">
        <f>IF(NOT(ISBLANK(H161)),VLOOKUP(H161,$S$45:$U$74,2,FALSE),0)</f>
        <v>0</v>
      </c>
    </row>
    <row r="163" spans="1:17" x14ac:dyDescent="0.25">
      <c r="A163" s="2" t="s">
        <v>8</v>
      </c>
      <c r="C163" s="6">
        <f>C162*C160</f>
        <v>319.23009999999999</v>
      </c>
      <c r="D163" s="6">
        <f>D162*D160</f>
        <v>850.72500000000002</v>
      </c>
      <c r="E163" s="6">
        <f>E162*E160</f>
        <v>0</v>
      </c>
      <c r="F163" s="1"/>
      <c r="G163" s="6">
        <f>G160*G162</f>
        <v>429.14</v>
      </c>
      <c r="H163" s="6">
        <f>H160*H162</f>
        <v>0</v>
      </c>
      <c r="I163" s="1"/>
      <c r="J163" s="1" t="str">
        <f>A160</f>
        <v>Fabric Factory</v>
      </c>
      <c r="K163" s="4">
        <f>SUM(G163:H163)-SUM(C163:E163)</f>
        <v>-740.81510000000014</v>
      </c>
      <c r="L163" s="4">
        <f>SUM(G163:H163)/B160</f>
        <v>9.5364444444444434</v>
      </c>
      <c r="M163" s="4">
        <f>K163/B160</f>
        <v>-16.462557777777782</v>
      </c>
      <c r="N163" s="3">
        <f>K163/SUM(G163:H163)</f>
        <v>-1.7262783706948786</v>
      </c>
      <c r="O163" s="1"/>
      <c r="P163" s="4">
        <v>35900</v>
      </c>
      <c r="Q163" s="5">
        <f>P163/K163*B160</f>
        <v>-2180.706089819173</v>
      </c>
    </row>
    <row r="164" spans="1:17" x14ac:dyDescent="0.25">
      <c r="A164" s="2"/>
      <c r="C164" s="6"/>
      <c r="D164" s="6"/>
      <c r="E164" s="6"/>
      <c r="F164" s="1"/>
      <c r="G164" s="6"/>
      <c r="H164" s="6"/>
      <c r="I164" s="1"/>
      <c r="J164" s="1"/>
      <c r="O164" s="1"/>
    </row>
    <row r="165" spans="1:17" x14ac:dyDescent="0.25">
      <c r="A165" t="s">
        <v>66</v>
      </c>
      <c r="B165" t="e">
        <f>VLOOKUP($A165,$A$7:$H$34,2,FALSE)</f>
        <v>#N/A</v>
      </c>
      <c r="C165" t="e">
        <f>VLOOKUP($A165,$A$7:$H$34,3,FALSE)</f>
        <v>#N/A</v>
      </c>
      <c r="D165" t="e">
        <f>VLOOKUP($A165,$A$7:$H$34,4,FALSE)</f>
        <v>#N/A</v>
      </c>
      <c r="E165" t="e">
        <f>VLOOKUP($A165,$A$7:$H$34,5,FALSE)</f>
        <v>#N/A</v>
      </c>
      <c r="G165" t="e">
        <f>VLOOKUP($A165,$A$7:$H$34,7,FALSE)</f>
        <v>#N/A</v>
      </c>
      <c r="H165" t="e">
        <f>VLOOKUP($A165,$A$7:$H$34,8,FALSE)</f>
        <v>#N/A</v>
      </c>
    </row>
    <row r="166" spans="1:17" x14ac:dyDescent="0.25">
      <c r="A166" s="2" t="s">
        <v>44</v>
      </c>
      <c r="C166" s="4" t="s">
        <v>18</v>
      </c>
      <c r="G166" s="4" t="s">
        <v>41</v>
      </c>
    </row>
    <row r="167" spans="1:17" x14ac:dyDescent="0.25">
      <c r="A167" s="2" t="s">
        <v>9</v>
      </c>
      <c r="C167" s="4">
        <f>IF(NOT(ISBLANK(C166)),VLOOKUP(C166,$S$45:$U$74,3,FALSE),0)</f>
        <v>2486</v>
      </c>
      <c r="D167" s="4">
        <f>IF(NOT(ISBLANK(D166)),VLOOKUP(D166,$S$45:$U$74,3,FALSE),0)</f>
        <v>0</v>
      </c>
      <c r="E167" s="4">
        <f>IF(NOT(ISBLANK(E166)),VLOOKUP(E166,$S$45:$U$74,3,FALSE),0)</f>
        <v>0</v>
      </c>
      <c r="G167" s="4">
        <f>IF(NOT(ISBLANK(G166)),VLOOKUP(G166,$S$45:$U$74,2,FALSE),0)</f>
        <v>3427</v>
      </c>
      <c r="H167" s="4">
        <f>IF(NOT(ISBLANK(H166)),VLOOKUP(H166,$S$45:$U$74,2,FALSE),0)</f>
        <v>0</v>
      </c>
    </row>
    <row r="168" spans="1:17" x14ac:dyDescent="0.25">
      <c r="A168" s="2" t="s">
        <v>8</v>
      </c>
      <c r="C168" s="6" t="e">
        <f>C167*C165</f>
        <v>#N/A</v>
      </c>
      <c r="D168" s="6" t="e">
        <f>D167*D165</f>
        <v>#N/A</v>
      </c>
      <c r="E168" s="6" t="e">
        <f>E167*E165</f>
        <v>#N/A</v>
      </c>
      <c r="F168" s="1"/>
      <c r="G168" s="6" t="e">
        <f>G165*G167</f>
        <v>#N/A</v>
      </c>
      <c r="H168" s="6" t="e">
        <f>H165*H167</f>
        <v>#N/A</v>
      </c>
      <c r="I168" s="1"/>
      <c r="J168" s="1" t="str">
        <f>A165</f>
        <v>Mech Component</v>
      </c>
      <c r="K168" s="4" t="e">
        <f>SUM(G168:H168)-SUM(C168:E168)</f>
        <v>#N/A</v>
      </c>
      <c r="L168" s="4" t="e">
        <f>SUM(G168:H168)/B165</f>
        <v>#N/A</v>
      </c>
      <c r="M168" s="4" t="e">
        <f>K168/B165</f>
        <v>#N/A</v>
      </c>
      <c r="N168" s="3" t="e">
        <f>K168/SUM(G168:H168)</f>
        <v>#N/A</v>
      </c>
      <c r="O168" s="1"/>
      <c r="P168" s="4">
        <v>0</v>
      </c>
      <c r="Q168" s="5" t="e">
        <f>P168/K168*B165</f>
        <v>#N/A</v>
      </c>
    </row>
    <row r="170" spans="1:17" x14ac:dyDescent="0.25">
      <c r="A170" t="s">
        <v>67</v>
      </c>
      <c r="B170" t="e">
        <f>VLOOKUP($A170,$A$7:$H$34,2,FALSE)</f>
        <v>#N/A</v>
      </c>
      <c r="C170" t="e">
        <f>VLOOKUP($A170,$A$7:$H$34,3,FALSE)</f>
        <v>#N/A</v>
      </c>
      <c r="D170" t="e">
        <f>VLOOKUP($A170,$A$7:$H$34,4,FALSE)</f>
        <v>#N/A</v>
      </c>
      <c r="E170" t="e">
        <f>VLOOKUP($A170,$A$7:$H$34,5,FALSE)</f>
        <v>#N/A</v>
      </c>
      <c r="G170" t="e">
        <f>VLOOKUP($A170,$A$7:$H$34,7,FALSE)</f>
        <v>#N/A</v>
      </c>
      <c r="H170" t="e">
        <f>VLOOKUP($A170,$A$7:$H$34,8,FALSE)</f>
        <v>#N/A</v>
      </c>
    </row>
    <row r="171" spans="1:17" x14ac:dyDescent="0.25">
      <c r="A171" s="2" t="s">
        <v>44</v>
      </c>
      <c r="C171" s="4" t="s">
        <v>42</v>
      </c>
      <c r="D171" s="4" t="s">
        <v>18</v>
      </c>
      <c r="E171" s="4" t="s">
        <v>23</v>
      </c>
      <c r="G171" s="4" t="s">
        <v>40</v>
      </c>
    </row>
    <row r="172" spans="1:17" x14ac:dyDescent="0.25">
      <c r="A172" s="2" t="s">
        <v>9</v>
      </c>
      <c r="C172" s="4">
        <f>IF(NOT(ISBLANK(C171)),VLOOKUP(C171,$S$45:$U$74,3,FALSE),0)</f>
        <v>1467</v>
      </c>
      <c r="D172" s="4">
        <f>IF(NOT(ISBLANK(D171)),VLOOKUP(D171,$S$45:$U$74,3,FALSE),0)</f>
        <v>2486</v>
      </c>
      <c r="E172" s="4">
        <f>IF(NOT(ISBLANK(E171)),VLOOKUP(E171,$S$45:$U$74,3,FALSE),0)</f>
        <v>3781</v>
      </c>
      <c r="G172" s="4">
        <f>IF(NOT(ISBLANK(G171)),VLOOKUP(G171,$S$45:$U$74,2,FALSE),0)</f>
        <v>2778</v>
      </c>
      <c r="H172" s="4">
        <f>IF(NOT(ISBLANK(H171)),VLOOKUP(H171,$S$45:$U$74,2,FALSE),0)</f>
        <v>0</v>
      </c>
    </row>
    <row r="173" spans="1:17" x14ac:dyDescent="0.25">
      <c r="A173" s="2" t="s">
        <v>8</v>
      </c>
      <c r="C173" s="6" t="e">
        <f>C172*C170</f>
        <v>#N/A</v>
      </c>
      <c r="D173" s="6" t="e">
        <f>D172*D170</f>
        <v>#N/A</v>
      </c>
      <c r="E173" s="6" t="e">
        <f>E172*E170</f>
        <v>#N/A</v>
      </c>
      <c r="F173" s="1"/>
      <c r="G173" s="6" t="e">
        <f>G170*G172</f>
        <v>#N/A</v>
      </c>
      <c r="H173" s="6" t="e">
        <f>H170*H172</f>
        <v>#N/A</v>
      </c>
      <c r="I173" s="1"/>
      <c r="J173" s="1" t="str">
        <f>A170</f>
        <v>Elect Comp</v>
      </c>
      <c r="K173" s="4" t="e">
        <f>SUM(G173:H173)-SUM(C173:E173)</f>
        <v>#N/A</v>
      </c>
      <c r="L173" s="4" t="e">
        <f>SUM(G173:H173)/B170</f>
        <v>#N/A</v>
      </c>
      <c r="M173" s="4" t="e">
        <f>K173/B170</f>
        <v>#N/A</v>
      </c>
      <c r="N173" s="3" t="e">
        <f>K173/SUM(G173:H173)</f>
        <v>#N/A</v>
      </c>
      <c r="O173" s="1"/>
      <c r="P173" s="4">
        <v>0</v>
      </c>
      <c r="Q173" s="5" t="e">
        <f>P173/K173*B170</f>
        <v>#N/A</v>
      </c>
    </row>
    <row r="175" spans="1:17" x14ac:dyDescent="0.25">
      <c r="A175" t="s">
        <v>68</v>
      </c>
      <c r="B175">
        <f>VLOOKUP($A175,$A$7:$H$34,2,FALSE)</f>
        <v>35</v>
      </c>
      <c r="C175">
        <f>VLOOKUP($A175,$A$7:$H$34,3,FALSE)</f>
        <v>1.113</v>
      </c>
      <c r="D175">
        <f>VLOOKUP($A175,$A$7:$H$34,4,FALSE)</f>
        <v>0</v>
      </c>
      <c r="E175">
        <f>VLOOKUP($A175,$A$7:$H$34,5,FALSE)</f>
        <v>0</v>
      </c>
      <c r="G175">
        <f>VLOOKUP($A175,$A$7:$H$34,7,FALSE)</f>
        <v>7.0000000000000007E-2</v>
      </c>
      <c r="H175">
        <f>VLOOKUP($A175,$A$7:$H$34,8,FALSE)</f>
        <v>0</v>
      </c>
    </row>
    <row r="176" spans="1:17" x14ac:dyDescent="0.25">
      <c r="A176" s="2" t="s">
        <v>44</v>
      </c>
      <c r="C176" s="4" t="s">
        <v>31</v>
      </c>
      <c r="G176" s="4" t="s">
        <v>35</v>
      </c>
    </row>
    <row r="177" spans="1:17" x14ac:dyDescent="0.25">
      <c r="A177" s="2" t="s">
        <v>9</v>
      </c>
      <c r="C177" s="4">
        <f>IF(NOT(ISBLANK(C176)),VLOOKUP(C176,$S$45:$U$74,3,FALSE),0)</f>
        <v>1111</v>
      </c>
      <c r="D177" s="4">
        <f>IF(NOT(ISBLANK(D176)),VLOOKUP(D176,$S$45:$U$74,3,FALSE),0)</f>
        <v>0</v>
      </c>
      <c r="E177" s="4">
        <f>IF(NOT(ISBLANK(E176)),VLOOKUP(E176,$S$45:$U$74,3,FALSE),0)</f>
        <v>0</v>
      </c>
      <c r="G177" s="4">
        <f>IF(NOT(ISBLANK(G176)),VLOOKUP(G176,$S$45:$U$74,2,FALSE),0)</f>
        <v>13851</v>
      </c>
      <c r="H177" s="4">
        <f>IF(NOT(ISBLANK(H176)),VLOOKUP(H176,$S$45:$U$74,2,FALSE),0)</f>
        <v>0</v>
      </c>
    </row>
    <row r="178" spans="1:17" x14ac:dyDescent="0.25">
      <c r="A178" s="2" t="s">
        <v>8</v>
      </c>
      <c r="C178" s="6">
        <f>C177*C175</f>
        <v>1236.5429999999999</v>
      </c>
      <c r="D178" s="6">
        <f>D177*D175</f>
        <v>0</v>
      </c>
      <c r="E178" s="6">
        <f>E177*E175</f>
        <v>0</v>
      </c>
      <c r="F178" s="1"/>
      <c r="G178" s="6">
        <f>G175*G177</f>
        <v>969.57</v>
      </c>
      <c r="H178" s="6">
        <f>H175*H177</f>
        <v>0</v>
      </c>
      <c r="I178" s="1"/>
      <c r="J178" s="1" t="str">
        <f>A175</f>
        <v>Clothing Factory</v>
      </c>
      <c r="K178" s="4">
        <f>SUM(G178:H178)-SUM(C178:E178)</f>
        <v>-266.97299999999984</v>
      </c>
      <c r="L178" s="4">
        <f>SUM(G178:H178)/B175</f>
        <v>27.702000000000002</v>
      </c>
      <c r="M178" s="4">
        <f>K178/B175</f>
        <v>-7.6277999999999953</v>
      </c>
      <c r="N178" s="3">
        <f>K178/SUM(G178:H178)</f>
        <v>-0.27535196014728158</v>
      </c>
      <c r="O178" s="1"/>
      <c r="P178" s="4">
        <v>49231</v>
      </c>
      <c r="Q178" s="5">
        <f>P178/K178*B175</f>
        <v>-6454.1545399722108</v>
      </c>
    </row>
    <row r="180" spans="1:17" x14ac:dyDescent="0.25">
      <c r="A180" t="s">
        <v>69</v>
      </c>
      <c r="B180" t="e">
        <f>VLOOKUP($A180,$A$7:$H$34,2,FALSE)</f>
        <v>#N/A</v>
      </c>
      <c r="C180" t="e">
        <f>VLOOKUP($A180,$A$7:$H$34,3,FALSE)</f>
        <v>#N/A</v>
      </c>
      <c r="D180" t="e">
        <f>VLOOKUP($A180,$A$7:$H$34,4,FALSE)</f>
        <v>#N/A</v>
      </c>
      <c r="E180" t="e">
        <f>VLOOKUP($A180,$A$7:$H$34,5,FALSE)</f>
        <v>#N/A</v>
      </c>
      <c r="G180" t="e">
        <f>VLOOKUP($A180,$A$7:$H$34,7,FALSE)</f>
        <v>#N/A</v>
      </c>
      <c r="H180" t="e">
        <f>VLOOKUP($A180,$A$7:$H$34,8,FALSE)</f>
        <v>#N/A</v>
      </c>
    </row>
    <row r="181" spans="1:17" x14ac:dyDescent="0.25">
      <c r="A181" s="2" t="s">
        <v>44</v>
      </c>
      <c r="C181" s="4" t="s">
        <v>40</v>
      </c>
      <c r="D181" s="4" t="s">
        <v>42</v>
      </c>
      <c r="E181" s="4" t="s">
        <v>41</v>
      </c>
      <c r="G181" s="4" t="s">
        <v>43</v>
      </c>
    </row>
    <row r="182" spans="1:17" x14ac:dyDescent="0.25">
      <c r="A182" s="2" t="s">
        <v>9</v>
      </c>
      <c r="C182" s="4">
        <f>IF(NOT(ISBLANK(C181)),VLOOKUP(C181,$S$45:$U$74,3,FALSE),0)</f>
        <v>3077</v>
      </c>
      <c r="D182" s="4">
        <f>IF(NOT(ISBLANK(D181)),VLOOKUP(D181,$S$45:$U$74,3,FALSE),0)</f>
        <v>1467</v>
      </c>
      <c r="E182" s="4">
        <f>IF(NOT(ISBLANK(E181)),VLOOKUP(E181,$S$45:$U$74,3,FALSE),0)</f>
        <v>3795</v>
      </c>
      <c r="G182" s="4">
        <f>IF(NOT(ISBLANK(G181)),VLOOKUP(G181,$S$45:$U$74,2,FALSE),0)</f>
        <v>3152</v>
      </c>
      <c r="H182" s="4">
        <f>IF(NOT(ISBLANK(H181)),VLOOKUP(H181,$S$45:$U$74,2,FALSE),0)</f>
        <v>0</v>
      </c>
    </row>
    <row r="183" spans="1:17" x14ac:dyDescent="0.25">
      <c r="A183" s="2" t="s">
        <v>8</v>
      </c>
      <c r="C183" s="6" t="e">
        <f>C182*C180</f>
        <v>#N/A</v>
      </c>
      <c r="D183" s="6" t="e">
        <f>D182*D180</f>
        <v>#N/A</v>
      </c>
      <c r="E183" s="6" t="e">
        <f>E182*E180</f>
        <v>#N/A</v>
      </c>
      <c r="F183" s="1"/>
      <c r="G183" s="6" t="e">
        <f>G180*G182</f>
        <v>#N/A</v>
      </c>
      <c r="H183" s="6" t="e">
        <f>H180*H182</f>
        <v>#N/A</v>
      </c>
      <c r="I183" s="1"/>
      <c r="J183" s="1" t="str">
        <f>A180</f>
        <v>Elect Assembly</v>
      </c>
      <c r="K183" s="4" t="e">
        <f>SUM(G183:H183)-SUM(C183:E183)</f>
        <v>#N/A</v>
      </c>
      <c r="L183" s="4" t="e">
        <f>SUM(G183:H183)/B180</f>
        <v>#N/A</v>
      </c>
      <c r="M183" s="4" t="e">
        <f>K183/B180</f>
        <v>#N/A</v>
      </c>
      <c r="N183" s="3" t="e">
        <f>K183/SUM(G183:H183)</f>
        <v>#N/A</v>
      </c>
      <c r="O183" s="1"/>
      <c r="P183" s="4">
        <v>0</v>
      </c>
      <c r="Q183" s="5" t="e">
        <f>P183/K183*B180</f>
        <v>#N/A</v>
      </c>
    </row>
    <row r="184" spans="1:17" x14ac:dyDescent="0.25">
      <c r="C184" s="7"/>
      <c r="D184" s="7"/>
      <c r="E184" s="7"/>
      <c r="G184" s="7"/>
      <c r="H184" s="7"/>
    </row>
    <row r="185" spans="1:17" x14ac:dyDescent="0.25">
      <c r="A185" t="s">
        <v>72</v>
      </c>
      <c r="B185">
        <f>VLOOKUP($A185,$A$7:$H$35,2,FALSE)</f>
        <v>66</v>
      </c>
      <c r="C185">
        <f>VLOOKUP($A185,$A$7:$H$35,3,FALSE)</f>
        <v>9.7550000000000008</v>
      </c>
      <c r="D185">
        <f>VLOOKUP($A185,$A$7:$H$35,4,FALSE)</f>
        <v>64.022999999999996</v>
      </c>
      <c r="E185">
        <f>VLOOKUP($A185,$A$7:$H$35,5,FALSE)</f>
        <v>0</v>
      </c>
      <c r="G185">
        <f>VLOOKUP($A185,$A$7:$H$35,7,FALSE)</f>
        <v>49.201000000000001</v>
      </c>
      <c r="H185">
        <f>VLOOKUP($A185,$A$7:$H$35,8,FALSE)</f>
        <v>0</v>
      </c>
    </row>
    <row r="186" spans="1:17" x14ac:dyDescent="0.25">
      <c r="A186" s="2" t="s">
        <v>44</v>
      </c>
      <c r="C186" s="4" t="s">
        <v>33</v>
      </c>
      <c r="D186" s="4" t="s">
        <v>15</v>
      </c>
      <c r="G186" s="4" t="s">
        <v>19</v>
      </c>
    </row>
    <row r="187" spans="1:17" x14ac:dyDescent="0.25">
      <c r="A187" s="2" t="s">
        <v>9</v>
      </c>
      <c r="C187" s="4">
        <f>IF(NOT(ISBLANK(C186)),VLOOKUP(C186,$S$45:$U$74,3,FALSE),0)</f>
        <v>97</v>
      </c>
      <c r="D187" s="4">
        <f>IF(NOT(ISBLANK(D186)),VLOOKUP(D186,$S$45:$U$74,3,FALSE),0)</f>
        <v>34.5</v>
      </c>
      <c r="E187" s="4">
        <f>IF(NOT(ISBLANK(E186)),VLOOKUP(E186,$S$45:$U$74,3,FALSE),0)</f>
        <v>0</v>
      </c>
      <c r="G187" s="4">
        <f>IF(NOT(ISBLANK(G186)),VLOOKUP(G186,$S$45:$U$74,2,FALSE),0)</f>
        <v>57</v>
      </c>
      <c r="H187" s="4">
        <f>IF(NOT(ISBLANK(H186)),VLOOKUP(H186,$S$45:$U$74,2,FALSE),0)</f>
        <v>0</v>
      </c>
    </row>
    <row r="188" spans="1:17" x14ac:dyDescent="0.25">
      <c r="A188" s="2" t="s">
        <v>8</v>
      </c>
      <c r="C188" s="6">
        <f>C187*C185</f>
        <v>946.23500000000013</v>
      </c>
      <c r="D188" s="6">
        <f>D187*D185</f>
        <v>2208.7934999999998</v>
      </c>
      <c r="E188" s="6">
        <f>E187*E185</f>
        <v>0</v>
      </c>
      <c r="F188" s="1"/>
      <c r="G188" s="6">
        <f>G185*G187</f>
        <v>2804.4569999999999</v>
      </c>
      <c r="H188" s="6">
        <f>H185*H187</f>
        <v>0</v>
      </c>
      <c r="I188" s="1"/>
      <c r="J188" s="1" t="str">
        <f>A185</f>
        <v>Prefab factory</v>
      </c>
      <c r="K188" s="4">
        <f>SUM(G188:H188)-SUM(C188:E188)</f>
        <v>-350.57150000000001</v>
      </c>
      <c r="L188" s="4">
        <f>SUM(G188:H188)/B185</f>
        <v>42.491772727272725</v>
      </c>
      <c r="M188" s="4">
        <f>K188/B185</f>
        <v>-5.3116893939393943</v>
      </c>
      <c r="N188" s="3">
        <f>K188/SUM(G188:H188)</f>
        <v>-0.12500512576944486</v>
      </c>
      <c r="O188" s="1"/>
      <c r="P188" s="4">
        <v>36860</v>
      </c>
      <c r="Q188" s="5">
        <f>P188/K188*B185</f>
        <v>-6939.411789035903</v>
      </c>
    </row>
    <row r="189" spans="1:17" x14ac:dyDescent="0.25">
      <c r="C189" s="7"/>
      <c r="D189" s="7"/>
      <c r="E189" s="7"/>
      <c r="G189" s="7"/>
      <c r="H189" s="7"/>
    </row>
    <row r="190" spans="1:17" x14ac:dyDescent="0.25">
      <c r="A190" s="2"/>
    </row>
    <row r="191" spans="1:17" x14ac:dyDescent="0.25">
      <c r="A191" s="2"/>
    </row>
    <row r="192" spans="1:17" x14ac:dyDescent="0.25">
      <c r="A192" s="2"/>
      <c r="C192" s="6"/>
      <c r="D192" s="6"/>
      <c r="E192" s="6"/>
      <c r="F192" s="1"/>
      <c r="G192" s="6"/>
      <c r="H192" s="6"/>
      <c r="I192" s="1"/>
      <c r="J192" s="1"/>
      <c r="O192" s="1"/>
    </row>
    <row r="194" spans="1:15" x14ac:dyDescent="0.25">
      <c r="C194" s="7"/>
      <c r="D194" s="7"/>
      <c r="E194" s="7"/>
      <c r="G194" s="7"/>
      <c r="H194" s="7"/>
    </row>
    <row r="195" spans="1:15" x14ac:dyDescent="0.25">
      <c r="A195" s="2"/>
    </row>
    <row r="196" spans="1:15" x14ac:dyDescent="0.25">
      <c r="A196" s="2"/>
    </row>
    <row r="197" spans="1:15" x14ac:dyDescent="0.25">
      <c r="A197" s="2"/>
      <c r="C197" s="6"/>
      <c r="D197" s="6"/>
      <c r="E197" s="6"/>
      <c r="F197" s="1"/>
      <c r="G197" s="6"/>
      <c r="H197" s="6"/>
      <c r="I197" s="1"/>
      <c r="J197" s="1"/>
      <c r="O197" s="1"/>
    </row>
    <row r="199" spans="1:15" x14ac:dyDescent="0.25">
      <c r="C199" s="7"/>
      <c r="D199" s="7"/>
      <c r="E199" s="7"/>
      <c r="G199" s="7"/>
      <c r="H199" s="7"/>
    </row>
    <row r="200" spans="1:15" x14ac:dyDescent="0.25">
      <c r="A200" s="2"/>
    </row>
    <row r="201" spans="1:15" x14ac:dyDescent="0.25">
      <c r="A201" s="2"/>
    </row>
    <row r="202" spans="1:15" x14ac:dyDescent="0.25">
      <c r="A202" s="2"/>
      <c r="C202" s="6"/>
      <c r="D202" s="6"/>
      <c r="E202" s="6"/>
      <c r="F202" s="1"/>
      <c r="G202" s="6"/>
      <c r="H202" s="6"/>
      <c r="I202" s="1"/>
      <c r="J202" s="1"/>
      <c r="O202" s="1"/>
    </row>
    <row r="203" spans="1:15" x14ac:dyDescent="0.25">
      <c r="C203" s="7"/>
      <c r="D203" s="7"/>
      <c r="E203" s="7"/>
      <c r="G203" s="7"/>
      <c r="H203" s="7"/>
    </row>
    <row r="204" spans="1:15" x14ac:dyDescent="0.25">
      <c r="A204" s="2"/>
    </row>
    <row r="205" spans="1:15" x14ac:dyDescent="0.25">
      <c r="A205" s="2"/>
    </row>
    <row r="206" spans="1:15" x14ac:dyDescent="0.25">
      <c r="A206" s="2"/>
      <c r="C206" s="6"/>
      <c r="D206" s="6"/>
      <c r="E206" s="6"/>
      <c r="F206" s="1"/>
      <c r="G206" s="6"/>
      <c r="H206" s="6"/>
      <c r="I206" s="1"/>
      <c r="J206" s="1"/>
      <c r="O206" s="1"/>
    </row>
    <row r="208" spans="1:15" x14ac:dyDescent="0.25">
      <c r="C208" s="7"/>
      <c r="D208" s="7"/>
      <c r="E208" s="7"/>
      <c r="G208" s="7"/>
      <c r="H208" s="7"/>
    </row>
    <row r="209" spans="1:15" x14ac:dyDescent="0.25">
      <c r="A209" s="2"/>
    </row>
    <row r="210" spans="1:15" x14ac:dyDescent="0.25">
      <c r="A210" s="2"/>
    </row>
    <row r="211" spans="1:15" x14ac:dyDescent="0.25">
      <c r="A211" s="2"/>
      <c r="C211" s="6"/>
      <c r="D211" s="6"/>
      <c r="E211" s="6"/>
      <c r="F211" s="1"/>
      <c r="G211" s="6"/>
      <c r="H211" s="6"/>
      <c r="I211" s="1"/>
      <c r="J211" s="1"/>
      <c r="O211" s="1"/>
    </row>
    <row r="213" spans="1:15" x14ac:dyDescent="0.25">
      <c r="C213" s="7"/>
      <c r="D213" s="7"/>
      <c r="E213" s="7"/>
      <c r="G213" s="7"/>
      <c r="H213" s="7"/>
    </row>
    <row r="214" spans="1:15" x14ac:dyDescent="0.25">
      <c r="A214" s="2"/>
    </row>
    <row r="215" spans="1:15" x14ac:dyDescent="0.25">
      <c r="A215" s="2"/>
    </row>
    <row r="216" spans="1:15" x14ac:dyDescent="0.25">
      <c r="A216" s="2"/>
      <c r="C216" s="6"/>
      <c r="D216" s="6"/>
      <c r="E216" s="6"/>
      <c r="F216" s="1"/>
      <c r="G216" s="6"/>
      <c r="H216" s="6"/>
      <c r="I216" s="1"/>
      <c r="J216" s="1"/>
      <c r="O216" s="1"/>
    </row>
    <row r="218" spans="1:15" x14ac:dyDescent="0.25">
      <c r="C218" s="7"/>
      <c r="D218" s="7"/>
      <c r="E218" s="7"/>
      <c r="G218" s="7"/>
      <c r="H218" s="7"/>
    </row>
    <row r="219" spans="1:15" x14ac:dyDescent="0.25">
      <c r="A219" s="2"/>
    </row>
    <row r="220" spans="1:15" x14ac:dyDescent="0.25">
      <c r="A220" s="2"/>
    </row>
    <row r="221" spans="1:15" x14ac:dyDescent="0.25">
      <c r="A221" s="2"/>
      <c r="C221" s="6"/>
      <c r="D221" s="6"/>
      <c r="E221" s="6"/>
      <c r="F221" s="1"/>
      <c r="G221" s="6"/>
      <c r="H221" s="6"/>
      <c r="I221" s="1"/>
      <c r="J221" s="1"/>
      <c r="O221" s="1"/>
    </row>
  </sheetData>
  <mergeCells count="12">
    <mergeCell ref="A2:H2"/>
    <mergeCell ref="J2:O2"/>
    <mergeCell ref="Q2:W2"/>
    <mergeCell ref="A3:H3"/>
    <mergeCell ref="J3:O3"/>
    <mergeCell ref="Q3:W3"/>
    <mergeCell ref="Q4:W4"/>
    <mergeCell ref="A4:H4"/>
    <mergeCell ref="A43:V43"/>
    <mergeCell ref="S7:W7"/>
    <mergeCell ref="S8:W8"/>
    <mergeCell ref="J4:O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2019-05-30T00:46:01Z</dcterms:created>
  <dcterms:modified xsi:type="dcterms:W3CDTF">2019-07-21T09:38:33Z</dcterms:modified>
</cp:coreProperties>
</file>