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ersonal\games\workersandresources\workers-and-resources-insane-mode\"/>
    </mc:Choice>
  </mc:AlternateContent>
  <xr:revisionPtr revIDLastSave="0" documentId="13_ncr:1_{20F3167C-7495-43F5-AE63-6AF9C4CF1952}" xr6:coauthVersionLast="43" xr6:coauthVersionMax="43" xr10:uidLastSave="{00000000-0000-0000-0000-000000000000}"/>
  <bookViews>
    <workbookView xWindow="-120" yWindow="-120" windowWidth="29040" windowHeight="15840" activeTab="3" xr2:uid="{B5883943-4FA7-4C31-ABD9-F72C92AB45FA}"/>
  </bookViews>
  <sheets>
    <sheet name="Default" sheetId="2" r:id="rId1"/>
    <sheet name="Standard" sheetId="3" r:id="rId2"/>
    <sheet name="Nerfed" sheetId="5" r:id="rId3"/>
    <sheet name="Custom" sheetId="1" r:id="rId4"/>
    <sheet name="Del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3" i="3" l="1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5" i="5"/>
  <c r="J49" i="3"/>
  <c r="H49" i="3"/>
  <c r="E49" i="3"/>
  <c r="E50" i="3" s="1"/>
  <c r="D49" i="3"/>
  <c r="C49" i="3"/>
  <c r="H47" i="3"/>
  <c r="H50" i="3" s="1"/>
  <c r="G47" i="3"/>
  <c r="E47" i="3"/>
  <c r="D47" i="3"/>
  <c r="D50" i="3" s="1"/>
  <c r="C47" i="3"/>
  <c r="B47" i="3"/>
  <c r="J33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5" i="3"/>
  <c r="H177" i="3"/>
  <c r="E177" i="3"/>
  <c r="D177" i="3"/>
  <c r="B177" i="3"/>
  <c r="H172" i="3"/>
  <c r="G172" i="3"/>
  <c r="E172" i="3"/>
  <c r="D172" i="3"/>
  <c r="C172" i="3"/>
  <c r="B172" i="3"/>
  <c r="J50" i="5"/>
  <c r="H49" i="5"/>
  <c r="E49" i="5"/>
  <c r="D49" i="5"/>
  <c r="C49" i="5"/>
  <c r="H47" i="5"/>
  <c r="H50" i="5" s="1"/>
  <c r="G47" i="5"/>
  <c r="E47" i="5"/>
  <c r="D47" i="5"/>
  <c r="C47" i="5"/>
  <c r="B47" i="5"/>
  <c r="A33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8" i="4"/>
  <c r="A31" i="4"/>
  <c r="A5" i="4"/>
  <c r="J7" i="1"/>
  <c r="J54" i="1"/>
  <c r="H53" i="1"/>
  <c r="E53" i="1"/>
  <c r="D53" i="1"/>
  <c r="C53" i="1"/>
  <c r="H51" i="1"/>
  <c r="G51" i="1"/>
  <c r="E51" i="1"/>
  <c r="D51" i="1"/>
  <c r="C51" i="1"/>
  <c r="B51" i="1"/>
  <c r="C50" i="3" l="1"/>
  <c r="D50" i="5"/>
  <c r="C50" i="5"/>
  <c r="E50" i="5"/>
  <c r="P7" i="1"/>
  <c r="D54" i="1"/>
  <c r="E54" i="1"/>
  <c r="H54" i="1"/>
  <c r="C54" i="1"/>
  <c r="J33" i="1"/>
  <c r="J31" i="1"/>
  <c r="J28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6" i="1"/>
  <c r="J5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C63" i="1" s="1"/>
  <c r="U53" i="1"/>
  <c r="D68" i="1" s="1"/>
  <c r="U52" i="1"/>
  <c r="U51" i="1"/>
  <c r="U50" i="1"/>
  <c r="D158" i="1" s="1"/>
  <c r="U49" i="1"/>
  <c r="U48" i="1"/>
  <c r="D148" i="1" s="1"/>
  <c r="U47" i="1"/>
  <c r="U46" i="1"/>
  <c r="U45" i="1"/>
  <c r="U44" i="1"/>
  <c r="C143" i="1" s="1"/>
  <c r="U43" i="1"/>
  <c r="U42" i="1"/>
  <c r="U41" i="1"/>
  <c r="E153" i="1" s="1"/>
  <c r="T41" i="1"/>
  <c r="G88" i="1" s="1"/>
  <c r="T70" i="1"/>
  <c r="G178" i="1" s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G48" i="1" s="1"/>
  <c r="T55" i="1"/>
  <c r="H118" i="1" s="1"/>
  <c r="T54" i="1"/>
  <c r="T53" i="1"/>
  <c r="G63" i="1" s="1"/>
  <c r="T52" i="1"/>
  <c r="T51" i="1"/>
  <c r="T50" i="1"/>
  <c r="T49" i="1"/>
  <c r="T48" i="1"/>
  <c r="G53" i="1" s="1"/>
  <c r="G54" i="1" s="1"/>
  <c r="T47" i="1"/>
  <c r="T46" i="1"/>
  <c r="T45" i="1"/>
  <c r="T44" i="1"/>
  <c r="T43" i="1"/>
  <c r="T42" i="1"/>
  <c r="G5" i="3"/>
  <c r="G8" i="3"/>
  <c r="G11" i="3"/>
  <c r="G67" i="3" s="1"/>
  <c r="G15" i="3"/>
  <c r="C33" i="3"/>
  <c r="C177" i="3" s="1"/>
  <c r="G33" i="3"/>
  <c r="G177" i="3" s="1"/>
  <c r="J180" i="5"/>
  <c r="H179" i="5"/>
  <c r="E179" i="5"/>
  <c r="H177" i="5"/>
  <c r="E177" i="5"/>
  <c r="D177" i="5"/>
  <c r="B177" i="5"/>
  <c r="J175" i="5"/>
  <c r="H174" i="5"/>
  <c r="H172" i="5"/>
  <c r="G172" i="5"/>
  <c r="E172" i="5"/>
  <c r="D172" i="5"/>
  <c r="C172" i="5"/>
  <c r="B172" i="5"/>
  <c r="J170" i="5"/>
  <c r="H169" i="5"/>
  <c r="E169" i="5"/>
  <c r="D169" i="5"/>
  <c r="H167" i="5"/>
  <c r="G167" i="5"/>
  <c r="E167" i="5"/>
  <c r="D167" i="5"/>
  <c r="D170" i="5" s="1"/>
  <c r="C167" i="5"/>
  <c r="B167" i="5"/>
  <c r="J165" i="5"/>
  <c r="H164" i="5"/>
  <c r="H162" i="5"/>
  <c r="G162" i="5"/>
  <c r="E162" i="5"/>
  <c r="D162" i="5"/>
  <c r="C162" i="5"/>
  <c r="B162" i="5"/>
  <c r="J160" i="5"/>
  <c r="H159" i="5"/>
  <c r="E159" i="5"/>
  <c r="D159" i="5"/>
  <c r="H157" i="5"/>
  <c r="G157" i="5"/>
  <c r="E157" i="5"/>
  <c r="D157" i="5"/>
  <c r="C157" i="5"/>
  <c r="B157" i="5"/>
  <c r="J155" i="5"/>
  <c r="H154" i="5"/>
  <c r="E154" i="5"/>
  <c r="H152" i="5"/>
  <c r="G152" i="5"/>
  <c r="E152" i="5"/>
  <c r="D152" i="5"/>
  <c r="C152" i="5"/>
  <c r="B152" i="5"/>
  <c r="J150" i="5"/>
  <c r="H149" i="5"/>
  <c r="E149" i="5"/>
  <c r="H147" i="5"/>
  <c r="G147" i="5"/>
  <c r="E147" i="5"/>
  <c r="D147" i="5"/>
  <c r="C147" i="5"/>
  <c r="B147" i="5"/>
  <c r="J145" i="5"/>
  <c r="H144" i="5"/>
  <c r="H142" i="5"/>
  <c r="G142" i="5"/>
  <c r="E142" i="5"/>
  <c r="D142" i="5"/>
  <c r="C142" i="5"/>
  <c r="B142" i="5"/>
  <c r="J140" i="5"/>
  <c r="H139" i="5"/>
  <c r="E139" i="5"/>
  <c r="D139" i="5"/>
  <c r="H137" i="5"/>
  <c r="G137" i="5"/>
  <c r="E137" i="5"/>
  <c r="D137" i="5"/>
  <c r="C137" i="5"/>
  <c r="B137" i="5"/>
  <c r="J135" i="5"/>
  <c r="H134" i="5"/>
  <c r="E134" i="5"/>
  <c r="D134" i="5"/>
  <c r="H132" i="5"/>
  <c r="G132" i="5"/>
  <c r="E132" i="5"/>
  <c r="D132" i="5"/>
  <c r="C132" i="5"/>
  <c r="B132" i="5"/>
  <c r="J130" i="5"/>
  <c r="H129" i="5"/>
  <c r="E129" i="5"/>
  <c r="D129" i="5"/>
  <c r="H127" i="5"/>
  <c r="G127" i="5"/>
  <c r="E127" i="5"/>
  <c r="D127" i="5"/>
  <c r="C127" i="5"/>
  <c r="B127" i="5"/>
  <c r="J125" i="5"/>
  <c r="H124" i="5"/>
  <c r="E124" i="5"/>
  <c r="D124" i="5"/>
  <c r="H122" i="5"/>
  <c r="G122" i="5"/>
  <c r="E122" i="5"/>
  <c r="D122" i="5"/>
  <c r="C122" i="5"/>
  <c r="B122" i="5"/>
  <c r="J120" i="5"/>
  <c r="H119" i="5"/>
  <c r="E119" i="5"/>
  <c r="H117" i="5"/>
  <c r="G117" i="5"/>
  <c r="E117" i="5"/>
  <c r="D117" i="5"/>
  <c r="C117" i="5"/>
  <c r="B117" i="5"/>
  <c r="J115" i="5"/>
  <c r="E114" i="5"/>
  <c r="D114" i="5"/>
  <c r="H112" i="5"/>
  <c r="G112" i="5"/>
  <c r="E112" i="5"/>
  <c r="E115" i="5" s="1"/>
  <c r="D112" i="5"/>
  <c r="C112" i="5"/>
  <c r="B112" i="5"/>
  <c r="J110" i="5"/>
  <c r="H109" i="5"/>
  <c r="E109" i="5"/>
  <c r="D109" i="5"/>
  <c r="C109" i="5"/>
  <c r="H107" i="5"/>
  <c r="G107" i="5"/>
  <c r="E107" i="5"/>
  <c r="D107" i="5"/>
  <c r="C107" i="5"/>
  <c r="B107" i="5"/>
  <c r="J105" i="5"/>
  <c r="H104" i="5"/>
  <c r="E104" i="5"/>
  <c r="H102" i="5"/>
  <c r="G102" i="5"/>
  <c r="E102" i="5"/>
  <c r="D102" i="5"/>
  <c r="C102" i="5"/>
  <c r="B102" i="5"/>
  <c r="J100" i="5"/>
  <c r="H99" i="5"/>
  <c r="E99" i="5"/>
  <c r="H97" i="5"/>
  <c r="G97" i="5"/>
  <c r="E97" i="5"/>
  <c r="D97" i="5"/>
  <c r="C97" i="5"/>
  <c r="B97" i="5"/>
  <c r="J95" i="5"/>
  <c r="H94" i="5"/>
  <c r="E94" i="5"/>
  <c r="D94" i="5"/>
  <c r="H92" i="5"/>
  <c r="G92" i="5"/>
  <c r="E92" i="5"/>
  <c r="D92" i="5"/>
  <c r="C92" i="5"/>
  <c r="B92" i="5"/>
  <c r="J90" i="5"/>
  <c r="H89" i="5"/>
  <c r="E89" i="5"/>
  <c r="D89" i="5"/>
  <c r="C89" i="5"/>
  <c r="H87" i="5"/>
  <c r="H90" i="5" s="1"/>
  <c r="E87" i="5"/>
  <c r="D87" i="5"/>
  <c r="C87" i="5"/>
  <c r="B87" i="5"/>
  <c r="J85" i="5"/>
  <c r="H84" i="5"/>
  <c r="G84" i="5"/>
  <c r="E84" i="5"/>
  <c r="D84" i="5"/>
  <c r="H82" i="5"/>
  <c r="G82" i="5"/>
  <c r="E82" i="5"/>
  <c r="D82" i="5"/>
  <c r="C82" i="5"/>
  <c r="B82" i="5"/>
  <c r="J80" i="5"/>
  <c r="H79" i="5"/>
  <c r="E79" i="5"/>
  <c r="D79" i="5"/>
  <c r="H77" i="5"/>
  <c r="G77" i="5"/>
  <c r="E77" i="5"/>
  <c r="D77" i="5"/>
  <c r="D80" i="5" s="1"/>
  <c r="C77" i="5"/>
  <c r="B77" i="5"/>
  <c r="J75" i="5"/>
  <c r="H74" i="5"/>
  <c r="E74" i="5"/>
  <c r="D74" i="5"/>
  <c r="H72" i="5"/>
  <c r="G72" i="5"/>
  <c r="E72" i="5"/>
  <c r="D72" i="5"/>
  <c r="C72" i="5"/>
  <c r="B72" i="5"/>
  <c r="U65" i="5"/>
  <c r="T65" i="5"/>
  <c r="G174" i="5" s="1"/>
  <c r="U64" i="5"/>
  <c r="D174" i="5" s="1"/>
  <c r="T64" i="5"/>
  <c r="G149" i="5" s="1"/>
  <c r="J70" i="5"/>
  <c r="U63" i="5"/>
  <c r="E174" i="5" s="1"/>
  <c r="T63" i="5"/>
  <c r="G159" i="5" s="1"/>
  <c r="H69" i="5"/>
  <c r="E69" i="5"/>
  <c r="D69" i="5"/>
  <c r="C69" i="5"/>
  <c r="U62" i="5"/>
  <c r="C174" i="5" s="1"/>
  <c r="C175" i="5" s="1"/>
  <c r="T62" i="5"/>
  <c r="G164" i="5" s="1"/>
  <c r="U61" i="5"/>
  <c r="T61" i="5"/>
  <c r="G104" i="5" s="1"/>
  <c r="H67" i="5"/>
  <c r="E67" i="5"/>
  <c r="E70" i="5" s="1"/>
  <c r="D67" i="5"/>
  <c r="C67" i="5"/>
  <c r="B67" i="5"/>
  <c r="U60" i="5"/>
  <c r="T60" i="5"/>
  <c r="G119" i="5" s="1"/>
  <c r="U59" i="5"/>
  <c r="C129" i="5" s="1"/>
  <c r="C130" i="5" s="1"/>
  <c r="T59" i="5"/>
  <c r="G124" i="5" s="1"/>
  <c r="J65" i="5"/>
  <c r="U58" i="5"/>
  <c r="T58" i="5"/>
  <c r="G129" i="5" s="1"/>
  <c r="H64" i="5"/>
  <c r="E64" i="5"/>
  <c r="U57" i="5"/>
  <c r="T57" i="5"/>
  <c r="G169" i="5" s="1"/>
  <c r="U56" i="5"/>
  <c r="T56" i="5"/>
  <c r="G134" i="5" s="1"/>
  <c r="H62" i="5"/>
  <c r="G62" i="5"/>
  <c r="E62" i="5"/>
  <c r="D62" i="5"/>
  <c r="C62" i="5"/>
  <c r="B62" i="5"/>
  <c r="U55" i="5"/>
  <c r="T55" i="5"/>
  <c r="G99" i="5" s="1"/>
  <c r="U54" i="5"/>
  <c r="T54" i="5"/>
  <c r="G139" i="5" s="1"/>
  <c r="J60" i="5"/>
  <c r="U53" i="5"/>
  <c r="C169" i="5" s="1"/>
  <c r="C170" i="5" s="1"/>
  <c r="T53" i="5"/>
  <c r="G154" i="5" s="1"/>
  <c r="H59" i="5"/>
  <c r="E59" i="5"/>
  <c r="D59" i="5"/>
  <c r="U52" i="5"/>
  <c r="T52" i="5"/>
  <c r="G114" i="5" s="1"/>
  <c r="U51" i="5"/>
  <c r="T51" i="5"/>
  <c r="G44" i="5" s="1"/>
  <c r="H57" i="5"/>
  <c r="G57" i="5"/>
  <c r="E57" i="5"/>
  <c r="D57" i="5"/>
  <c r="C57" i="5"/>
  <c r="B57" i="5"/>
  <c r="U50" i="5"/>
  <c r="D119" i="5" s="1"/>
  <c r="T50" i="5"/>
  <c r="H114" i="5" s="1"/>
  <c r="U49" i="5"/>
  <c r="C59" i="5" s="1"/>
  <c r="T49" i="5"/>
  <c r="G54" i="5" s="1"/>
  <c r="J55" i="5"/>
  <c r="U48" i="5"/>
  <c r="D64" i="5" s="1"/>
  <c r="T48" i="5"/>
  <c r="G59" i="5" s="1"/>
  <c r="H54" i="5"/>
  <c r="E54" i="5"/>
  <c r="D54" i="5"/>
  <c r="C54" i="5"/>
  <c r="U47" i="5"/>
  <c r="C74" i="5" s="1"/>
  <c r="T47" i="5"/>
  <c r="G69" i="5" s="1"/>
  <c r="U46" i="5"/>
  <c r="C64" i="5" s="1"/>
  <c r="T46" i="5"/>
  <c r="G74" i="5" s="1"/>
  <c r="H52" i="5"/>
  <c r="E52" i="5"/>
  <c r="D52" i="5"/>
  <c r="D55" i="5" s="1"/>
  <c r="C52" i="5"/>
  <c r="B52" i="5"/>
  <c r="U45" i="5"/>
  <c r="T45" i="5"/>
  <c r="G144" i="5" s="1"/>
  <c r="U44" i="5"/>
  <c r="T44" i="5"/>
  <c r="G109" i="5" s="1"/>
  <c r="J45" i="5"/>
  <c r="U43" i="5"/>
  <c r="D144" i="5" s="1"/>
  <c r="T43" i="5"/>
  <c r="G39" i="5" s="1"/>
  <c r="H44" i="5"/>
  <c r="E44" i="5"/>
  <c r="D44" i="5"/>
  <c r="U42" i="5"/>
  <c r="T42" i="5"/>
  <c r="G79" i="5" s="1"/>
  <c r="U41" i="5"/>
  <c r="T41" i="5"/>
  <c r="G179" i="5" s="1"/>
  <c r="H42" i="5"/>
  <c r="G42" i="5"/>
  <c r="E42" i="5"/>
  <c r="D42" i="5"/>
  <c r="C42" i="5"/>
  <c r="B42" i="5"/>
  <c r="U40" i="5"/>
  <c r="T40" i="5"/>
  <c r="G64" i="5" s="1"/>
  <c r="U39" i="5"/>
  <c r="C139" i="5" s="1"/>
  <c r="T39" i="5"/>
  <c r="G49" i="5" s="1"/>
  <c r="G50" i="5" s="1"/>
  <c r="L50" i="5" s="1"/>
  <c r="J40" i="5"/>
  <c r="U38" i="5"/>
  <c r="C94" i="5" s="1"/>
  <c r="T38" i="5"/>
  <c r="G89" i="5" s="1"/>
  <c r="H39" i="5"/>
  <c r="E39" i="5"/>
  <c r="D39" i="5"/>
  <c r="C39" i="5"/>
  <c r="U37" i="5"/>
  <c r="C104" i="5" s="1"/>
  <c r="C105" i="5" s="1"/>
  <c r="T37" i="5"/>
  <c r="G94" i="5" s="1"/>
  <c r="H37" i="5"/>
  <c r="E37" i="5"/>
  <c r="D37" i="5"/>
  <c r="C37" i="5"/>
  <c r="B37" i="5"/>
  <c r="G33" i="5"/>
  <c r="G177" i="5" s="1"/>
  <c r="C33" i="5"/>
  <c r="C177" i="5" s="1"/>
  <c r="G15" i="5"/>
  <c r="G87" i="5" s="1"/>
  <c r="G11" i="5"/>
  <c r="G67" i="5" s="1"/>
  <c r="G8" i="5"/>
  <c r="G52" i="5" s="1"/>
  <c r="G5" i="5"/>
  <c r="G37" i="5" s="1"/>
  <c r="J180" i="3"/>
  <c r="H179" i="3"/>
  <c r="E179" i="3"/>
  <c r="J175" i="3"/>
  <c r="H174" i="3"/>
  <c r="H175" i="3"/>
  <c r="J170" i="3"/>
  <c r="H169" i="3"/>
  <c r="E169" i="3"/>
  <c r="D169" i="3"/>
  <c r="H167" i="3"/>
  <c r="G167" i="3"/>
  <c r="E167" i="3"/>
  <c r="D167" i="3"/>
  <c r="C167" i="3"/>
  <c r="B167" i="3"/>
  <c r="J165" i="3"/>
  <c r="H164" i="3"/>
  <c r="H162" i="3"/>
  <c r="G162" i="3"/>
  <c r="E162" i="3"/>
  <c r="D162" i="3"/>
  <c r="C162" i="3"/>
  <c r="B162" i="3"/>
  <c r="J160" i="3"/>
  <c r="H159" i="3"/>
  <c r="E159" i="3"/>
  <c r="D159" i="3"/>
  <c r="H157" i="3"/>
  <c r="G157" i="3"/>
  <c r="E157" i="3"/>
  <c r="D157" i="3"/>
  <c r="C157" i="3"/>
  <c r="B157" i="3"/>
  <c r="J155" i="3"/>
  <c r="H154" i="3"/>
  <c r="E154" i="3"/>
  <c r="H152" i="3"/>
  <c r="G152" i="3"/>
  <c r="E152" i="3"/>
  <c r="D152" i="3"/>
  <c r="C152" i="3"/>
  <c r="B152" i="3"/>
  <c r="J150" i="3"/>
  <c r="H149" i="3"/>
  <c r="E149" i="3"/>
  <c r="H147" i="3"/>
  <c r="G147" i="3"/>
  <c r="E147" i="3"/>
  <c r="D147" i="3"/>
  <c r="C147" i="3"/>
  <c r="B147" i="3"/>
  <c r="J145" i="3"/>
  <c r="H144" i="3"/>
  <c r="H142" i="3"/>
  <c r="G142" i="3"/>
  <c r="E142" i="3"/>
  <c r="D142" i="3"/>
  <c r="C142" i="3"/>
  <c r="B142" i="3"/>
  <c r="J140" i="3"/>
  <c r="H139" i="3"/>
  <c r="E139" i="3"/>
  <c r="D139" i="3"/>
  <c r="H137" i="3"/>
  <c r="G137" i="3"/>
  <c r="E137" i="3"/>
  <c r="D137" i="3"/>
  <c r="C137" i="3"/>
  <c r="B137" i="3"/>
  <c r="J135" i="3"/>
  <c r="H134" i="3"/>
  <c r="E134" i="3"/>
  <c r="D134" i="3"/>
  <c r="H132" i="3"/>
  <c r="G132" i="3"/>
  <c r="E132" i="3"/>
  <c r="D132" i="3"/>
  <c r="D135" i="3" s="1"/>
  <c r="C132" i="3"/>
  <c r="B132" i="3"/>
  <c r="J130" i="3"/>
  <c r="H129" i="3"/>
  <c r="E129" i="3"/>
  <c r="D129" i="3"/>
  <c r="H127" i="3"/>
  <c r="G127" i="3"/>
  <c r="E127" i="3"/>
  <c r="D127" i="3"/>
  <c r="C127" i="3"/>
  <c r="B127" i="3"/>
  <c r="J125" i="3"/>
  <c r="H124" i="3"/>
  <c r="E124" i="3"/>
  <c r="D124" i="3"/>
  <c r="H122" i="3"/>
  <c r="G122" i="3"/>
  <c r="E122" i="3"/>
  <c r="D122" i="3"/>
  <c r="D125" i="3" s="1"/>
  <c r="C122" i="3"/>
  <c r="B122" i="3"/>
  <c r="J120" i="3"/>
  <c r="H119" i="3"/>
  <c r="E119" i="3"/>
  <c r="H117" i="3"/>
  <c r="G117" i="3"/>
  <c r="E117" i="3"/>
  <c r="D117" i="3"/>
  <c r="C117" i="3"/>
  <c r="B117" i="3"/>
  <c r="J115" i="3"/>
  <c r="E114" i="3"/>
  <c r="D114" i="3"/>
  <c r="H112" i="3"/>
  <c r="G112" i="3"/>
  <c r="E112" i="3"/>
  <c r="D112" i="3"/>
  <c r="D115" i="3" s="1"/>
  <c r="C112" i="3"/>
  <c r="B112" i="3"/>
  <c r="J110" i="3"/>
  <c r="H109" i="3"/>
  <c r="E109" i="3"/>
  <c r="D109" i="3"/>
  <c r="C109" i="3"/>
  <c r="H107" i="3"/>
  <c r="H110" i="3" s="1"/>
  <c r="G107" i="3"/>
  <c r="E107" i="3"/>
  <c r="D107" i="3"/>
  <c r="C107" i="3"/>
  <c r="B107" i="3"/>
  <c r="J105" i="3"/>
  <c r="H104" i="3"/>
  <c r="E104" i="3"/>
  <c r="H102" i="3"/>
  <c r="G102" i="3"/>
  <c r="E102" i="3"/>
  <c r="D102" i="3"/>
  <c r="C102" i="3"/>
  <c r="B102" i="3"/>
  <c r="J100" i="3"/>
  <c r="H99" i="3"/>
  <c r="E99" i="3"/>
  <c r="H97" i="3"/>
  <c r="G97" i="3"/>
  <c r="E97" i="3"/>
  <c r="D97" i="3"/>
  <c r="C97" i="3"/>
  <c r="B97" i="3"/>
  <c r="J95" i="3"/>
  <c r="H94" i="3"/>
  <c r="E94" i="3"/>
  <c r="D94" i="3"/>
  <c r="H92" i="3"/>
  <c r="G92" i="3"/>
  <c r="E92" i="3"/>
  <c r="D92" i="3"/>
  <c r="D95" i="3" s="1"/>
  <c r="C92" i="3"/>
  <c r="B92" i="3"/>
  <c r="J90" i="3"/>
  <c r="H89" i="3"/>
  <c r="E89" i="3"/>
  <c r="D89" i="3"/>
  <c r="C89" i="3"/>
  <c r="H87" i="3"/>
  <c r="H90" i="3" s="1"/>
  <c r="E87" i="3"/>
  <c r="D87" i="3"/>
  <c r="C87" i="3"/>
  <c r="B87" i="3"/>
  <c r="J85" i="3"/>
  <c r="H84" i="3"/>
  <c r="G84" i="3"/>
  <c r="E84" i="3"/>
  <c r="D84" i="3"/>
  <c r="H82" i="3"/>
  <c r="H85" i="3" s="1"/>
  <c r="G82" i="3"/>
  <c r="G85" i="3" s="1"/>
  <c r="E82" i="3"/>
  <c r="D82" i="3"/>
  <c r="D85" i="3" s="1"/>
  <c r="C82" i="3"/>
  <c r="B82" i="3"/>
  <c r="J80" i="3"/>
  <c r="H79" i="3"/>
  <c r="E79" i="3"/>
  <c r="D79" i="3"/>
  <c r="H77" i="3"/>
  <c r="G77" i="3"/>
  <c r="E77" i="3"/>
  <c r="D77" i="3"/>
  <c r="D80" i="3" s="1"/>
  <c r="C77" i="3"/>
  <c r="B77" i="3"/>
  <c r="J75" i="3"/>
  <c r="H74" i="3"/>
  <c r="E74" i="3"/>
  <c r="D74" i="3"/>
  <c r="H72" i="3"/>
  <c r="G72" i="3"/>
  <c r="E72" i="3"/>
  <c r="D72" i="3"/>
  <c r="D75" i="3" s="1"/>
  <c r="C72" i="3"/>
  <c r="B72" i="3"/>
  <c r="U65" i="3"/>
  <c r="T65" i="3"/>
  <c r="G174" i="3" s="1"/>
  <c r="U64" i="3"/>
  <c r="D174" i="3" s="1"/>
  <c r="T64" i="3"/>
  <c r="G149" i="3" s="1"/>
  <c r="J70" i="3"/>
  <c r="U63" i="3"/>
  <c r="E174" i="3" s="1"/>
  <c r="T63" i="3"/>
  <c r="G159" i="3" s="1"/>
  <c r="H69" i="3"/>
  <c r="E69" i="3"/>
  <c r="D69" i="3"/>
  <c r="C69" i="3"/>
  <c r="U62" i="3"/>
  <c r="C174" i="3" s="1"/>
  <c r="T62" i="3"/>
  <c r="G164" i="3" s="1"/>
  <c r="U61" i="3"/>
  <c r="T61" i="3"/>
  <c r="G104" i="3" s="1"/>
  <c r="H67" i="3"/>
  <c r="E67" i="3"/>
  <c r="D67" i="3"/>
  <c r="D70" i="3" s="1"/>
  <c r="C67" i="3"/>
  <c r="C70" i="3" s="1"/>
  <c r="B67" i="3"/>
  <c r="U60" i="3"/>
  <c r="T60" i="3"/>
  <c r="G119" i="3" s="1"/>
  <c r="U59" i="3"/>
  <c r="C129" i="3" s="1"/>
  <c r="T59" i="3"/>
  <c r="G124" i="3" s="1"/>
  <c r="J65" i="3"/>
  <c r="U58" i="3"/>
  <c r="T58" i="3"/>
  <c r="G129" i="3" s="1"/>
  <c r="H64" i="3"/>
  <c r="E64" i="3"/>
  <c r="U57" i="3"/>
  <c r="T57" i="3"/>
  <c r="G169" i="3" s="1"/>
  <c r="U56" i="3"/>
  <c r="T56" i="3"/>
  <c r="G134" i="3" s="1"/>
  <c r="H62" i="3"/>
  <c r="G62" i="3"/>
  <c r="E62" i="3"/>
  <c r="D62" i="3"/>
  <c r="C62" i="3"/>
  <c r="B62" i="3"/>
  <c r="U55" i="3"/>
  <c r="D104" i="3" s="1"/>
  <c r="T55" i="3"/>
  <c r="G99" i="3" s="1"/>
  <c r="U54" i="3"/>
  <c r="T54" i="3"/>
  <c r="G139" i="3" s="1"/>
  <c r="J60" i="3"/>
  <c r="U53" i="3"/>
  <c r="C169" i="3" s="1"/>
  <c r="T53" i="3"/>
  <c r="G154" i="3" s="1"/>
  <c r="H59" i="3"/>
  <c r="E59" i="3"/>
  <c r="D59" i="3"/>
  <c r="U52" i="3"/>
  <c r="T52" i="3"/>
  <c r="G114" i="3" s="1"/>
  <c r="U51" i="3"/>
  <c r="T51" i="3"/>
  <c r="G44" i="3" s="1"/>
  <c r="H57" i="3"/>
  <c r="G57" i="3"/>
  <c r="E57" i="3"/>
  <c r="D57" i="3"/>
  <c r="D60" i="3" s="1"/>
  <c r="C57" i="3"/>
  <c r="B57" i="3"/>
  <c r="U50" i="3"/>
  <c r="D119" i="3" s="1"/>
  <c r="T50" i="3"/>
  <c r="H114" i="3" s="1"/>
  <c r="U49" i="3"/>
  <c r="C59" i="3" s="1"/>
  <c r="T49" i="3"/>
  <c r="G54" i="3" s="1"/>
  <c r="J55" i="3"/>
  <c r="U48" i="3"/>
  <c r="D64" i="3" s="1"/>
  <c r="T48" i="3"/>
  <c r="G59" i="3" s="1"/>
  <c r="H54" i="3"/>
  <c r="E54" i="3"/>
  <c r="D54" i="3"/>
  <c r="C54" i="3"/>
  <c r="U47" i="3"/>
  <c r="C74" i="3" s="1"/>
  <c r="T47" i="3"/>
  <c r="G69" i="3" s="1"/>
  <c r="U46" i="3"/>
  <c r="C84" i="3" s="1"/>
  <c r="T46" i="3"/>
  <c r="G74" i="3" s="1"/>
  <c r="H52" i="3"/>
  <c r="E52" i="3"/>
  <c r="D52" i="3"/>
  <c r="D55" i="3" s="1"/>
  <c r="C52" i="3"/>
  <c r="C55" i="3" s="1"/>
  <c r="B52" i="3"/>
  <c r="U45" i="3"/>
  <c r="D154" i="3" s="1"/>
  <c r="T45" i="3"/>
  <c r="G144" i="3" s="1"/>
  <c r="U44" i="3"/>
  <c r="T44" i="3"/>
  <c r="G109" i="3" s="1"/>
  <c r="J45" i="3"/>
  <c r="U43" i="3"/>
  <c r="D144" i="3" s="1"/>
  <c r="T43" i="3"/>
  <c r="G39" i="3" s="1"/>
  <c r="H44" i="3"/>
  <c r="E44" i="3"/>
  <c r="D44" i="3"/>
  <c r="U42" i="3"/>
  <c r="T42" i="3"/>
  <c r="G79" i="3" s="1"/>
  <c r="U41" i="3"/>
  <c r="T41" i="3"/>
  <c r="G179" i="3" s="1"/>
  <c r="H42" i="3"/>
  <c r="H45" i="3" s="1"/>
  <c r="G42" i="3"/>
  <c r="E42" i="3"/>
  <c r="D42" i="3"/>
  <c r="D45" i="3" s="1"/>
  <c r="C42" i="3"/>
  <c r="B42" i="3"/>
  <c r="U40" i="3"/>
  <c r="D164" i="3" s="1"/>
  <c r="T40" i="3"/>
  <c r="G64" i="3" s="1"/>
  <c r="U39" i="3"/>
  <c r="T39" i="3"/>
  <c r="G49" i="3" s="1"/>
  <c r="G50" i="3" s="1"/>
  <c r="J40" i="3"/>
  <c r="U38" i="3"/>
  <c r="C94" i="3" s="1"/>
  <c r="T38" i="3"/>
  <c r="G89" i="3" s="1"/>
  <c r="H39" i="3"/>
  <c r="E39" i="3"/>
  <c r="D39" i="3"/>
  <c r="C39" i="3"/>
  <c r="U37" i="3"/>
  <c r="T37" i="3"/>
  <c r="G94" i="3" s="1"/>
  <c r="H37" i="3"/>
  <c r="E37" i="3"/>
  <c r="D37" i="3"/>
  <c r="C37" i="3"/>
  <c r="C40" i="3" s="1"/>
  <c r="B37" i="3"/>
  <c r="G87" i="3"/>
  <c r="G52" i="3"/>
  <c r="G37" i="3"/>
  <c r="G91" i="1"/>
  <c r="H181" i="1"/>
  <c r="G181" i="1"/>
  <c r="E181" i="1"/>
  <c r="D181" i="1"/>
  <c r="C181" i="1"/>
  <c r="B181" i="1"/>
  <c r="J184" i="1"/>
  <c r="H183" i="1"/>
  <c r="E183" i="1"/>
  <c r="J179" i="1"/>
  <c r="J174" i="1"/>
  <c r="J169" i="1"/>
  <c r="J164" i="1"/>
  <c r="J159" i="1"/>
  <c r="J154" i="1"/>
  <c r="J149" i="1"/>
  <c r="J144" i="1"/>
  <c r="J139" i="1"/>
  <c r="J134" i="1"/>
  <c r="J129" i="1"/>
  <c r="J124" i="1"/>
  <c r="J119" i="1"/>
  <c r="J114" i="1"/>
  <c r="J109" i="1"/>
  <c r="J104" i="1"/>
  <c r="J99" i="1"/>
  <c r="J94" i="1"/>
  <c r="J89" i="1"/>
  <c r="J84" i="1"/>
  <c r="J79" i="1"/>
  <c r="J74" i="1"/>
  <c r="J69" i="1"/>
  <c r="J64" i="1"/>
  <c r="J59" i="1"/>
  <c r="J49" i="1"/>
  <c r="J44" i="1"/>
  <c r="H41" i="1"/>
  <c r="E41" i="1"/>
  <c r="D41" i="1"/>
  <c r="C41" i="1"/>
  <c r="B41" i="1"/>
  <c r="H46" i="1"/>
  <c r="G46" i="1"/>
  <c r="E46" i="1"/>
  <c r="D46" i="1"/>
  <c r="C46" i="1"/>
  <c r="B46" i="1"/>
  <c r="H56" i="1"/>
  <c r="E56" i="1"/>
  <c r="D56" i="1"/>
  <c r="C56" i="1"/>
  <c r="B56" i="1"/>
  <c r="H176" i="1"/>
  <c r="G176" i="1"/>
  <c r="E176" i="1"/>
  <c r="D176" i="1"/>
  <c r="C176" i="1"/>
  <c r="B176" i="1"/>
  <c r="H171" i="1"/>
  <c r="G171" i="1"/>
  <c r="E171" i="1"/>
  <c r="D171" i="1"/>
  <c r="C171" i="1"/>
  <c r="B171" i="1"/>
  <c r="H166" i="1"/>
  <c r="G166" i="1"/>
  <c r="E166" i="1"/>
  <c r="D166" i="1"/>
  <c r="C166" i="1"/>
  <c r="B166" i="1"/>
  <c r="H161" i="1"/>
  <c r="G161" i="1"/>
  <c r="E161" i="1"/>
  <c r="D161" i="1"/>
  <c r="C161" i="1"/>
  <c r="B161" i="1"/>
  <c r="H156" i="1"/>
  <c r="G156" i="1"/>
  <c r="E156" i="1"/>
  <c r="D156" i="1"/>
  <c r="C156" i="1"/>
  <c r="B156" i="1"/>
  <c r="H151" i="1"/>
  <c r="G151" i="1"/>
  <c r="E151" i="1"/>
  <c r="D151" i="1"/>
  <c r="C151" i="1"/>
  <c r="B151" i="1"/>
  <c r="H146" i="1"/>
  <c r="G146" i="1"/>
  <c r="E146" i="1"/>
  <c r="D146" i="1"/>
  <c r="C146" i="1"/>
  <c r="B146" i="1"/>
  <c r="H141" i="1"/>
  <c r="G141" i="1"/>
  <c r="E141" i="1"/>
  <c r="D141" i="1"/>
  <c r="C141" i="1"/>
  <c r="B141" i="1"/>
  <c r="H136" i="1"/>
  <c r="G136" i="1"/>
  <c r="E136" i="1"/>
  <c r="D136" i="1"/>
  <c r="C136" i="1"/>
  <c r="B136" i="1"/>
  <c r="H131" i="1"/>
  <c r="G131" i="1"/>
  <c r="E131" i="1"/>
  <c r="D131" i="1"/>
  <c r="C131" i="1"/>
  <c r="B131" i="1"/>
  <c r="H126" i="1"/>
  <c r="G126" i="1"/>
  <c r="E126" i="1"/>
  <c r="D126" i="1"/>
  <c r="C126" i="1"/>
  <c r="B126" i="1"/>
  <c r="H121" i="1"/>
  <c r="G121" i="1"/>
  <c r="E121" i="1"/>
  <c r="D121" i="1"/>
  <c r="C121" i="1"/>
  <c r="B121" i="1"/>
  <c r="H116" i="1"/>
  <c r="G116" i="1"/>
  <c r="E116" i="1"/>
  <c r="D116" i="1"/>
  <c r="C116" i="1"/>
  <c r="B116" i="1"/>
  <c r="H111" i="1"/>
  <c r="G111" i="1"/>
  <c r="E111" i="1"/>
  <c r="D111" i="1"/>
  <c r="C111" i="1"/>
  <c r="B111" i="1"/>
  <c r="H106" i="1"/>
  <c r="G106" i="1"/>
  <c r="E106" i="1"/>
  <c r="D106" i="1"/>
  <c r="C106" i="1"/>
  <c r="B106" i="1"/>
  <c r="H101" i="1"/>
  <c r="G101" i="1"/>
  <c r="E101" i="1"/>
  <c r="D101" i="1"/>
  <c r="C101" i="1"/>
  <c r="B101" i="1"/>
  <c r="H96" i="1"/>
  <c r="G96" i="1"/>
  <c r="E96" i="1"/>
  <c r="D96" i="1"/>
  <c r="C96" i="1"/>
  <c r="B96" i="1"/>
  <c r="H91" i="1"/>
  <c r="E91" i="1"/>
  <c r="D91" i="1"/>
  <c r="C91" i="1"/>
  <c r="B91" i="1"/>
  <c r="H86" i="1"/>
  <c r="G86" i="1"/>
  <c r="E86" i="1"/>
  <c r="D86" i="1"/>
  <c r="C86" i="1"/>
  <c r="B86" i="1"/>
  <c r="H81" i="1"/>
  <c r="G81" i="1"/>
  <c r="E81" i="1"/>
  <c r="D81" i="1"/>
  <c r="C81" i="1"/>
  <c r="B81" i="1"/>
  <c r="H76" i="1"/>
  <c r="G76" i="1"/>
  <c r="E76" i="1"/>
  <c r="D76" i="1"/>
  <c r="C76" i="1"/>
  <c r="B76" i="1"/>
  <c r="H71" i="1"/>
  <c r="E71" i="1"/>
  <c r="D71" i="1"/>
  <c r="C71" i="1"/>
  <c r="B71" i="1"/>
  <c r="H66" i="1"/>
  <c r="G66" i="1"/>
  <c r="E66" i="1"/>
  <c r="D66" i="1"/>
  <c r="C66" i="1"/>
  <c r="B66" i="1"/>
  <c r="H61" i="1"/>
  <c r="G61" i="1"/>
  <c r="E61" i="1"/>
  <c r="D61" i="1"/>
  <c r="C61" i="1"/>
  <c r="B61" i="1"/>
  <c r="G71" i="1"/>
  <c r="G56" i="1"/>
  <c r="G41" i="1"/>
  <c r="K137" i="2"/>
  <c r="K138" i="2" s="1"/>
  <c r="J137" i="2"/>
  <c r="J138" i="2" s="1"/>
  <c r="G133" i="2"/>
  <c r="K132" i="2"/>
  <c r="K133" i="2" s="1"/>
  <c r="J132" i="2"/>
  <c r="J133" i="2" s="1"/>
  <c r="G132" i="2"/>
  <c r="F132" i="2"/>
  <c r="F133" i="2" s="1"/>
  <c r="E132" i="2"/>
  <c r="E133" i="2" s="1"/>
  <c r="K127" i="2"/>
  <c r="K128" i="2" s="1"/>
  <c r="J127" i="2"/>
  <c r="J128" i="2" s="1"/>
  <c r="G123" i="2"/>
  <c r="K122" i="2"/>
  <c r="K123" i="2" s="1"/>
  <c r="J122" i="2"/>
  <c r="J123" i="2" s="1"/>
  <c r="G122" i="2"/>
  <c r="F122" i="2"/>
  <c r="F123" i="2" s="1"/>
  <c r="E122" i="2"/>
  <c r="E123" i="2" s="1"/>
  <c r="G118" i="2"/>
  <c r="K117" i="2"/>
  <c r="K118" i="2" s="1"/>
  <c r="J117" i="2"/>
  <c r="J118" i="2" s="1"/>
  <c r="G117" i="2"/>
  <c r="G113" i="2"/>
  <c r="K112" i="2"/>
  <c r="K113" i="2" s="1"/>
  <c r="J112" i="2"/>
  <c r="J113" i="2" s="1"/>
  <c r="G112" i="2"/>
  <c r="K107" i="2"/>
  <c r="K108" i="2" s="1"/>
  <c r="J107" i="2"/>
  <c r="J108" i="2" s="1"/>
  <c r="G103" i="2"/>
  <c r="K102" i="2"/>
  <c r="K103" i="2" s="1"/>
  <c r="J102" i="2"/>
  <c r="J103" i="2" s="1"/>
  <c r="G102" i="2"/>
  <c r="F102" i="2"/>
  <c r="F103" i="2" s="1"/>
  <c r="E102" i="2"/>
  <c r="E103" i="2" s="1"/>
  <c r="G98" i="2"/>
  <c r="K97" i="2"/>
  <c r="K98" i="2" s="1"/>
  <c r="J97" i="2"/>
  <c r="J98" i="2" s="1"/>
  <c r="G97" i="2"/>
  <c r="F97" i="2"/>
  <c r="F98" i="2" s="1"/>
  <c r="M93" i="2"/>
  <c r="G93" i="2"/>
  <c r="K92" i="2"/>
  <c r="K93" i="2" s="1"/>
  <c r="J92" i="2"/>
  <c r="J93" i="2" s="1"/>
  <c r="G92" i="2"/>
  <c r="F92" i="2"/>
  <c r="F93" i="2" s="1"/>
  <c r="E92" i="2"/>
  <c r="E93" i="2" s="1"/>
  <c r="G88" i="2"/>
  <c r="K87" i="2"/>
  <c r="K88" i="2" s="1"/>
  <c r="J87" i="2"/>
  <c r="J88" i="2" s="1"/>
  <c r="G87" i="2"/>
  <c r="F87" i="2"/>
  <c r="F88" i="2" s="1"/>
  <c r="G83" i="2"/>
  <c r="K82" i="2"/>
  <c r="K83" i="2" s="1"/>
  <c r="J82" i="2"/>
  <c r="J83" i="2" s="1"/>
  <c r="G82" i="2"/>
  <c r="M78" i="2"/>
  <c r="G78" i="2"/>
  <c r="K77" i="2"/>
  <c r="K78" i="2" s="1"/>
  <c r="J77" i="2"/>
  <c r="J78" i="2" s="1"/>
  <c r="G77" i="2"/>
  <c r="F77" i="2"/>
  <c r="F78" i="2" s="1"/>
  <c r="E77" i="2"/>
  <c r="E78" i="2" s="1"/>
  <c r="G73" i="2"/>
  <c r="K72" i="2"/>
  <c r="K73" i="2" s="1"/>
  <c r="J72" i="2"/>
  <c r="J73" i="2" s="1"/>
  <c r="G72" i="2"/>
  <c r="F72" i="2"/>
  <c r="F73" i="2" s="1"/>
  <c r="E72" i="2"/>
  <c r="E73" i="2" s="1"/>
  <c r="G68" i="2"/>
  <c r="K67" i="2"/>
  <c r="K68" i="2" s="1"/>
  <c r="J67" i="2"/>
  <c r="J68" i="2" s="1"/>
  <c r="G67" i="2"/>
  <c r="G63" i="2"/>
  <c r="K62" i="2"/>
  <c r="K63" i="2" s="1"/>
  <c r="J62" i="2"/>
  <c r="J63" i="2" s="1"/>
  <c r="G62" i="2"/>
  <c r="E62" i="2"/>
  <c r="E63" i="2" s="1"/>
  <c r="G58" i="2"/>
  <c r="K57" i="2"/>
  <c r="K58" i="2" s="1"/>
  <c r="J57" i="2"/>
  <c r="J58" i="2" s="1"/>
  <c r="G57" i="2"/>
  <c r="F57" i="2"/>
  <c r="F58" i="2" s="1"/>
  <c r="G53" i="2"/>
  <c r="K52" i="2"/>
  <c r="K53" i="2" s="1"/>
  <c r="J52" i="2"/>
  <c r="J53" i="2" s="1"/>
  <c r="G52" i="2"/>
  <c r="F52" i="2"/>
  <c r="F53" i="2" s="1"/>
  <c r="E52" i="2"/>
  <c r="E53" i="2" s="1"/>
  <c r="I50" i="2"/>
  <c r="I48" i="2"/>
  <c r="K47" i="2"/>
  <c r="K48" i="2" s="1"/>
  <c r="J47" i="2"/>
  <c r="J48" i="2" s="1"/>
  <c r="I47" i="2"/>
  <c r="G47" i="2"/>
  <c r="G48" i="2" s="1"/>
  <c r="F47" i="2"/>
  <c r="F48" i="2" s="1"/>
  <c r="G43" i="2"/>
  <c r="K42" i="2"/>
  <c r="K43" i="2" s="1"/>
  <c r="J42" i="2"/>
  <c r="J43" i="2" s="1"/>
  <c r="G42" i="2"/>
  <c r="F42" i="2"/>
  <c r="F43" i="2" s="1"/>
  <c r="I38" i="2"/>
  <c r="G38" i="2"/>
  <c r="K37" i="2"/>
  <c r="K38" i="2" s="1"/>
  <c r="J37" i="2"/>
  <c r="J38" i="2" s="1"/>
  <c r="G37" i="2"/>
  <c r="F37" i="2"/>
  <c r="F38" i="2" s="1"/>
  <c r="V34" i="2"/>
  <c r="U34" i="2"/>
  <c r="I137" i="2" s="1"/>
  <c r="I138" i="2" s="1"/>
  <c r="V33" i="2"/>
  <c r="F137" i="2" s="1"/>
  <c r="F138" i="2" s="1"/>
  <c r="U33" i="2"/>
  <c r="I112" i="2" s="1"/>
  <c r="I113" i="2" s="1"/>
  <c r="V32" i="2"/>
  <c r="G137" i="2" s="1"/>
  <c r="G138" i="2" s="1"/>
  <c r="U32" i="2"/>
  <c r="I122" i="2" s="1"/>
  <c r="I123" i="2" s="1"/>
  <c r="M123" i="2" s="1"/>
  <c r="K32" i="2"/>
  <c r="K33" i="2" s="1"/>
  <c r="J32" i="2"/>
  <c r="J33" i="2" s="1"/>
  <c r="I32" i="2"/>
  <c r="G32" i="2"/>
  <c r="G33" i="2" s="1"/>
  <c r="F32" i="2"/>
  <c r="F33" i="2" s="1"/>
  <c r="E32" i="2"/>
  <c r="E33" i="2" s="1"/>
  <c r="V31" i="2"/>
  <c r="E137" i="2" s="1"/>
  <c r="E138" i="2" s="1"/>
  <c r="U31" i="2"/>
  <c r="I127" i="2" s="1"/>
  <c r="I128" i="2" s="1"/>
  <c r="V30" i="2"/>
  <c r="U30" i="2"/>
  <c r="I67" i="2" s="1"/>
  <c r="I68" i="2" s="1"/>
  <c r="I30" i="2"/>
  <c r="I33" i="2" s="1"/>
  <c r="M33" i="2" s="1"/>
  <c r="V29" i="2"/>
  <c r="U29" i="2"/>
  <c r="I82" i="2" s="1"/>
  <c r="I83" i="2" s="1"/>
  <c r="V28" i="2"/>
  <c r="U28" i="2"/>
  <c r="I87" i="2" s="1"/>
  <c r="I88" i="2" s="1"/>
  <c r="M88" i="2" s="1"/>
  <c r="G28" i="2"/>
  <c r="V27" i="2"/>
  <c r="U27" i="2"/>
  <c r="I92" i="2" s="1"/>
  <c r="I93" i="2" s="1"/>
  <c r="K27" i="2"/>
  <c r="K28" i="2" s="1"/>
  <c r="J27" i="2"/>
  <c r="J28" i="2" s="1"/>
  <c r="G27" i="2"/>
  <c r="V26" i="2"/>
  <c r="U26" i="2"/>
  <c r="I132" i="2" s="1"/>
  <c r="I133" i="2" s="1"/>
  <c r="M133" i="2" s="1"/>
  <c r="V25" i="2"/>
  <c r="U25" i="2"/>
  <c r="I97" i="2" s="1"/>
  <c r="I98" i="2" s="1"/>
  <c r="V24" i="2"/>
  <c r="F67" i="2" s="1"/>
  <c r="F68" i="2" s="1"/>
  <c r="U24" i="2"/>
  <c r="I62" i="2" s="1"/>
  <c r="I63" i="2" s="1"/>
  <c r="V23" i="2"/>
  <c r="U23" i="2"/>
  <c r="I102" i="2" s="1"/>
  <c r="I103" i="2" s="1"/>
  <c r="M103" i="2" s="1"/>
  <c r="V22" i="2"/>
  <c r="U22" i="2"/>
  <c r="I117" i="2" s="1"/>
  <c r="I118" i="2" s="1"/>
  <c r="K22" i="2"/>
  <c r="K23" i="2" s="1"/>
  <c r="J22" i="2"/>
  <c r="J23" i="2" s="1"/>
  <c r="G22" i="2"/>
  <c r="G23" i="2" s="1"/>
  <c r="F22" i="2"/>
  <c r="F23" i="2" s="1"/>
  <c r="E22" i="2"/>
  <c r="E23" i="2" s="1"/>
  <c r="V21" i="2"/>
  <c r="U21" i="2"/>
  <c r="I77" i="2" s="1"/>
  <c r="I78" i="2" s="1"/>
  <c r="V20" i="2"/>
  <c r="U20" i="2"/>
  <c r="I12" i="2" s="1"/>
  <c r="I13" i="2" s="1"/>
  <c r="V19" i="2"/>
  <c r="F82" i="2" s="1"/>
  <c r="F83" i="2" s="1"/>
  <c r="U19" i="2"/>
  <c r="V18" i="2"/>
  <c r="U18" i="2"/>
  <c r="K18" i="2"/>
  <c r="F18" i="2"/>
  <c r="V17" i="2"/>
  <c r="F27" i="2" s="1"/>
  <c r="F28" i="2" s="1"/>
  <c r="U17" i="2"/>
  <c r="I22" i="2" s="1"/>
  <c r="I23" i="2" s="1"/>
  <c r="K17" i="2"/>
  <c r="J17" i="2"/>
  <c r="J18" i="2" s="1"/>
  <c r="I17" i="2"/>
  <c r="G17" i="2"/>
  <c r="G18" i="2" s="1"/>
  <c r="F17" i="2"/>
  <c r="E17" i="2"/>
  <c r="E18" i="2" s="1"/>
  <c r="V16" i="2"/>
  <c r="E37" i="2" s="1"/>
  <c r="E38" i="2" s="1"/>
  <c r="U16" i="2"/>
  <c r="V15" i="2"/>
  <c r="U15" i="2"/>
  <c r="I37" i="2" s="1"/>
  <c r="I15" i="2"/>
  <c r="I18" i="2" s="1"/>
  <c r="M18" i="2" s="1"/>
  <c r="V14" i="2"/>
  <c r="E112" i="2" s="1"/>
  <c r="E113" i="2" s="1"/>
  <c r="U14" i="2"/>
  <c r="I107" i="2" s="1"/>
  <c r="I108" i="2" s="1"/>
  <c r="V13" i="2"/>
  <c r="G107" i="2" s="1"/>
  <c r="G108" i="2" s="1"/>
  <c r="U13" i="2"/>
  <c r="I72" i="2" s="1"/>
  <c r="I73" i="2" s="1"/>
  <c r="M73" i="2" s="1"/>
  <c r="K13" i="2"/>
  <c r="F13" i="2"/>
  <c r="E13" i="2"/>
  <c r="V12" i="2"/>
  <c r="F107" i="2" s="1"/>
  <c r="F108" i="2" s="1"/>
  <c r="U12" i="2"/>
  <c r="K12" i="2"/>
  <c r="J12" i="2"/>
  <c r="J13" i="2" s="1"/>
  <c r="G12" i="2"/>
  <c r="G13" i="2" s="1"/>
  <c r="F12" i="2"/>
  <c r="E12" i="2"/>
  <c r="V11" i="2"/>
  <c r="U11" i="2"/>
  <c r="I42" i="2" s="1"/>
  <c r="I43" i="2" s="1"/>
  <c r="V10" i="2"/>
  <c r="U10" i="2"/>
  <c r="V9" i="2"/>
  <c r="F127" i="2" s="1"/>
  <c r="F128" i="2" s="1"/>
  <c r="U9" i="2"/>
  <c r="I27" i="2" s="1"/>
  <c r="I28" i="2" s="1"/>
  <c r="V8" i="2"/>
  <c r="E87" i="2" s="1"/>
  <c r="E88" i="2" s="1"/>
  <c r="U8" i="2"/>
  <c r="V7" i="2"/>
  <c r="E57" i="2" s="1"/>
  <c r="E58" i="2" s="1"/>
  <c r="U7" i="2"/>
  <c r="I52" i="2" s="1"/>
  <c r="I53" i="2" s="1"/>
  <c r="M53" i="2" s="1"/>
  <c r="K7" i="2"/>
  <c r="K8" i="2" s="1"/>
  <c r="J7" i="2"/>
  <c r="J8" i="2" s="1"/>
  <c r="I7" i="2"/>
  <c r="I8" i="2" s="1"/>
  <c r="G7" i="2"/>
  <c r="G8" i="2" s="1"/>
  <c r="F7" i="2"/>
  <c r="F8" i="2" s="1"/>
  <c r="E7" i="2"/>
  <c r="E8" i="2" s="1"/>
  <c r="V6" i="2"/>
  <c r="F62" i="2" s="1"/>
  <c r="F63" i="2" s="1"/>
  <c r="M63" i="2" s="1"/>
  <c r="U6" i="2"/>
  <c r="I57" i="2" s="1"/>
  <c r="I58" i="2" s="1"/>
  <c r="M58" i="2" s="1"/>
  <c r="I5" i="2"/>
  <c r="H178" i="1"/>
  <c r="H173" i="1"/>
  <c r="E173" i="1"/>
  <c r="D173" i="1"/>
  <c r="H168" i="1"/>
  <c r="H163" i="1"/>
  <c r="E163" i="1"/>
  <c r="D163" i="1"/>
  <c r="H158" i="1"/>
  <c r="E158" i="1"/>
  <c r="H153" i="1"/>
  <c r="H148" i="1"/>
  <c r="H143" i="1"/>
  <c r="E143" i="1"/>
  <c r="H138" i="1"/>
  <c r="E138" i="1"/>
  <c r="D138" i="1"/>
  <c r="H133" i="1"/>
  <c r="E133" i="1"/>
  <c r="D133" i="1"/>
  <c r="H128" i="1"/>
  <c r="E128" i="1"/>
  <c r="D128" i="1"/>
  <c r="H123" i="1"/>
  <c r="E118" i="1"/>
  <c r="H113" i="1"/>
  <c r="E113" i="1"/>
  <c r="D113" i="1"/>
  <c r="H108" i="1"/>
  <c r="H103" i="1"/>
  <c r="H98" i="1"/>
  <c r="E98" i="1"/>
  <c r="H93" i="1"/>
  <c r="E93" i="1"/>
  <c r="D93" i="1"/>
  <c r="C93" i="1"/>
  <c r="H88" i="1"/>
  <c r="E88" i="1"/>
  <c r="D88" i="1"/>
  <c r="H83" i="1"/>
  <c r="E83" i="1"/>
  <c r="D83" i="1"/>
  <c r="H78" i="1"/>
  <c r="E78" i="1"/>
  <c r="D78" i="1"/>
  <c r="H73" i="1"/>
  <c r="E73" i="1"/>
  <c r="D73" i="1"/>
  <c r="C73" i="1"/>
  <c r="H68" i="1"/>
  <c r="H63" i="1"/>
  <c r="E63" i="1"/>
  <c r="D63" i="1"/>
  <c r="H58" i="1"/>
  <c r="E58" i="1"/>
  <c r="D58" i="1"/>
  <c r="C58" i="1"/>
  <c r="H48" i="1"/>
  <c r="E48" i="1"/>
  <c r="D48" i="1"/>
  <c r="H43" i="1"/>
  <c r="E43" i="1"/>
  <c r="D43" i="1"/>
  <c r="C43" i="1"/>
  <c r="P7" i="5" l="1"/>
  <c r="P5" i="5"/>
  <c r="K49" i="3"/>
  <c r="L49" i="3"/>
  <c r="G45" i="3"/>
  <c r="L85" i="3"/>
  <c r="H105" i="3"/>
  <c r="H95" i="3"/>
  <c r="G180" i="3"/>
  <c r="G55" i="3"/>
  <c r="G40" i="3"/>
  <c r="H40" i="3"/>
  <c r="H55" i="3"/>
  <c r="H100" i="3"/>
  <c r="C175" i="3"/>
  <c r="H140" i="3"/>
  <c r="H160" i="3"/>
  <c r="G135" i="5"/>
  <c r="D175" i="5"/>
  <c r="K50" i="5"/>
  <c r="N50" i="5" s="1"/>
  <c r="P13" i="5"/>
  <c r="G175" i="5"/>
  <c r="D145" i="5"/>
  <c r="K54" i="1"/>
  <c r="K7" i="1" s="1"/>
  <c r="L54" i="1"/>
  <c r="L7" i="1" s="1"/>
  <c r="G43" i="1"/>
  <c r="P6" i="1"/>
  <c r="P11" i="1"/>
  <c r="P19" i="1"/>
  <c r="P31" i="1"/>
  <c r="P8" i="1"/>
  <c r="P12" i="1"/>
  <c r="P16" i="1"/>
  <c r="P20" i="1"/>
  <c r="P24" i="1"/>
  <c r="P28" i="1"/>
  <c r="P15" i="1"/>
  <c r="P23" i="1"/>
  <c r="P9" i="1"/>
  <c r="P13" i="1"/>
  <c r="P17" i="1"/>
  <c r="P21" i="1"/>
  <c r="P25" i="1"/>
  <c r="P33" i="1"/>
  <c r="P5" i="1"/>
  <c r="P10" i="1"/>
  <c r="P14" i="1"/>
  <c r="P18" i="1"/>
  <c r="P22" i="1"/>
  <c r="E123" i="1"/>
  <c r="E124" i="1" s="1"/>
  <c r="E108" i="1"/>
  <c r="E109" i="1" s="1"/>
  <c r="E103" i="1"/>
  <c r="E104" i="1" s="1"/>
  <c r="C113" i="1"/>
  <c r="C114" i="1" s="1"/>
  <c r="D118" i="1"/>
  <c r="D119" i="1" s="1"/>
  <c r="D183" i="1"/>
  <c r="D184" i="1" s="1"/>
  <c r="E68" i="1"/>
  <c r="E69" i="1" s="1"/>
  <c r="D98" i="1"/>
  <c r="D99" i="1" s="1"/>
  <c r="D143" i="1"/>
  <c r="D144" i="1" s="1"/>
  <c r="G183" i="1"/>
  <c r="G184" i="1" s="1"/>
  <c r="C183" i="1"/>
  <c r="C184" i="1" s="1"/>
  <c r="D139" i="1"/>
  <c r="H110" i="5"/>
  <c r="D130" i="5"/>
  <c r="D160" i="5"/>
  <c r="D60" i="5"/>
  <c r="G70" i="5"/>
  <c r="G85" i="5"/>
  <c r="H140" i="5"/>
  <c r="H55" i="5"/>
  <c r="D70" i="5"/>
  <c r="G90" i="5"/>
  <c r="L90" i="5" s="1"/>
  <c r="L15" i="5" s="1"/>
  <c r="D140" i="5"/>
  <c r="H85" i="5"/>
  <c r="D90" i="5"/>
  <c r="G140" i="3"/>
  <c r="D175" i="3"/>
  <c r="H184" i="1"/>
  <c r="H130" i="3"/>
  <c r="H60" i="3"/>
  <c r="H65" i="3"/>
  <c r="H120" i="3"/>
  <c r="H170" i="3"/>
  <c r="G90" i="3"/>
  <c r="D40" i="3"/>
  <c r="G65" i="3"/>
  <c r="G145" i="3"/>
  <c r="G150" i="3"/>
  <c r="C159" i="3"/>
  <c r="C160" i="3" s="1"/>
  <c r="H70" i="3"/>
  <c r="H80" i="3"/>
  <c r="G100" i="3"/>
  <c r="H125" i="3"/>
  <c r="H135" i="3"/>
  <c r="H145" i="3"/>
  <c r="H150" i="3"/>
  <c r="G170" i="3"/>
  <c r="C64" i="3"/>
  <c r="C65" i="3" s="1"/>
  <c r="G130" i="3"/>
  <c r="D145" i="3"/>
  <c r="H155" i="3"/>
  <c r="G160" i="3"/>
  <c r="H165" i="3"/>
  <c r="G70" i="3"/>
  <c r="G60" i="3"/>
  <c r="H75" i="3"/>
  <c r="G110" i="3"/>
  <c r="H115" i="3"/>
  <c r="G45" i="5"/>
  <c r="C110" i="5"/>
  <c r="G55" i="5"/>
  <c r="D40" i="5"/>
  <c r="H45" i="5"/>
  <c r="H60" i="5"/>
  <c r="H95" i="5"/>
  <c r="D120" i="5"/>
  <c r="E175" i="5"/>
  <c r="G75" i="5"/>
  <c r="G180" i="5"/>
  <c r="H135" i="5"/>
  <c r="H145" i="5"/>
  <c r="H170" i="5"/>
  <c r="G40" i="5"/>
  <c r="H175" i="5"/>
  <c r="E155" i="5"/>
  <c r="H120" i="5"/>
  <c r="C154" i="5"/>
  <c r="C155" i="5" s="1"/>
  <c r="C164" i="5"/>
  <c r="C165" i="5" s="1"/>
  <c r="H180" i="5"/>
  <c r="H80" i="5"/>
  <c r="D110" i="5"/>
  <c r="H125" i="5"/>
  <c r="H160" i="5"/>
  <c r="D45" i="5"/>
  <c r="C44" i="5"/>
  <c r="C45" i="5" s="1"/>
  <c r="G65" i="5"/>
  <c r="H100" i="5"/>
  <c r="C134" i="5"/>
  <c r="C135" i="5" s="1"/>
  <c r="H150" i="5"/>
  <c r="H75" i="5"/>
  <c r="G110" i="5"/>
  <c r="H130" i="5"/>
  <c r="E135" i="5"/>
  <c r="H165" i="5"/>
  <c r="G95" i="5"/>
  <c r="G145" i="5"/>
  <c r="G115" i="5"/>
  <c r="G165" i="5"/>
  <c r="L165" i="5" s="1"/>
  <c r="L30" i="5" s="1"/>
  <c r="G155" i="5"/>
  <c r="G105" i="5"/>
  <c r="C140" i="5"/>
  <c r="C95" i="5"/>
  <c r="G125" i="5"/>
  <c r="D65" i="5"/>
  <c r="E100" i="5"/>
  <c r="C75" i="5"/>
  <c r="E120" i="5"/>
  <c r="E45" i="5"/>
  <c r="E150" i="5"/>
  <c r="C65" i="5"/>
  <c r="E80" i="5"/>
  <c r="E105" i="5"/>
  <c r="E125" i="5"/>
  <c r="E140" i="5"/>
  <c r="E170" i="5"/>
  <c r="C40" i="5"/>
  <c r="H40" i="5"/>
  <c r="C55" i="5"/>
  <c r="E60" i="5"/>
  <c r="E65" i="5"/>
  <c r="C90" i="5"/>
  <c r="D115" i="5"/>
  <c r="E180" i="5"/>
  <c r="E75" i="5"/>
  <c r="D85" i="5"/>
  <c r="E95" i="5"/>
  <c r="E130" i="5"/>
  <c r="E40" i="5"/>
  <c r="E55" i="5"/>
  <c r="C60" i="5"/>
  <c r="C70" i="5"/>
  <c r="E85" i="5"/>
  <c r="E90" i="5"/>
  <c r="E110" i="5"/>
  <c r="D125" i="5"/>
  <c r="E160" i="5"/>
  <c r="P11" i="5"/>
  <c r="G60" i="5"/>
  <c r="H65" i="5"/>
  <c r="P33" i="5"/>
  <c r="P32" i="5"/>
  <c r="P30" i="5"/>
  <c r="P28" i="5"/>
  <c r="P26" i="5"/>
  <c r="P24" i="5"/>
  <c r="P22" i="5"/>
  <c r="P20" i="5"/>
  <c r="P18" i="5"/>
  <c r="P16" i="5"/>
  <c r="P9" i="5"/>
  <c r="P14" i="5"/>
  <c r="P12" i="5"/>
  <c r="P6" i="5"/>
  <c r="P31" i="5"/>
  <c r="P29" i="5"/>
  <c r="P27" i="5"/>
  <c r="P25" i="5"/>
  <c r="P23" i="5"/>
  <c r="P21" i="5"/>
  <c r="P19" i="5"/>
  <c r="P17" i="5"/>
  <c r="P15" i="5"/>
  <c r="P10" i="5"/>
  <c r="P8" i="5"/>
  <c r="D164" i="5"/>
  <c r="D165" i="5" s="1"/>
  <c r="C159" i="5"/>
  <c r="C160" i="5" s="1"/>
  <c r="D154" i="5"/>
  <c r="D155" i="5" s="1"/>
  <c r="E164" i="5"/>
  <c r="E165" i="5" s="1"/>
  <c r="C149" i="5"/>
  <c r="C150" i="5" s="1"/>
  <c r="C99" i="5"/>
  <c r="C100" i="5" s="1"/>
  <c r="C79" i="5"/>
  <c r="C80" i="5" s="1"/>
  <c r="D104" i="5"/>
  <c r="D105" i="5" s="1"/>
  <c r="C179" i="5"/>
  <c r="C180" i="5" s="1"/>
  <c r="G80" i="5"/>
  <c r="G100" i="5"/>
  <c r="H105" i="5"/>
  <c r="D135" i="5"/>
  <c r="C144" i="5"/>
  <c r="C145" i="5" s="1"/>
  <c r="H115" i="5"/>
  <c r="G120" i="5"/>
  <c r="G130" i="5"/>
  <c r="G150" i="5"/>
  <c r="G160" i="5"/>
  <c r="G170" i="5"/>
  <c r="D179" i="5"/>
  <c r="D180" i="5" s="1"/>
  <c r="D99" i="5"/>
  <c r="D100" i="5" s="1"/>
  <c r="C119" i="5"/>
  <c r="C120" i="5" s="1"/>
  <c r="D149" i="5"/>
  <c r="D150" i="5" s="1"/>
  <c r="E144" i="5"/>
  <c r="E145" i="5" s="1"/>
  <c r="H70" i="5"/>
  <c r="D75" i="5"/>
  <c r="C84" i="5"/>
  <c r="C85" i="5" s="1"/>
  <c r="D95" i="5"/>
  <c r="C114" i="5"/>
  <c r="C115" i="5" s="1"/>
  <c r="C124" i="5"/>
  <c r="C125" i="5" s="1"/>
  <c r="G140" i="5"/>
  <c r="H155" i="5"/>
  <c r="G80" i="3"/>
  <c r="D165" i="3"/>
  <c r="C85" i="3"/>
  <c r="D155" i="3"/>
  <c r="E105" i="3"/>
  <c r="C75" i="3"/>
  <c r="C130" i="3"/>
  <c r="E150" i="3"/>
  <c r="D105" i="3"/>
  <c r="G120" i="3"/>
  <c r="E160" i="3"/>
  <c r="C60" i="3"/>
  <c r="E175" i="3"/>
  <c r="E120" i="3"/>
  <c r="E100" i="3"/>
  <c r="E110" i="3"/>
  <c r="C170" i="3"/>
  <c r="E65" i="3"/>
  <c r="E135" i="3"/>
  <c r="E45" i="3"/>
  <c r="E70" i="3"/>
  <c r="E80" i="3"/>
  <c r="C90" i="3"/>
  <c r="E95" i="3"/>
  <c r="E130" i="3"/>
  <c r="C95" i="3"/>
  <c r="E55" i="3"/>
  <c r="D65" i="3"/>
  <c r="E75" i="3"/>
  <c r="C110" i="3"/>
  <c r="E125" i="3"/>
  <c r="E170" i="3"/>
  <c r="E180" i="3"/>
  <c r="E60" i="3"/>
  <c r="E85" i="3"/>
  <c r="E90" i="3"/>
  <c r="E115" i="3"/>
  <c r="E140" i="3"/>
  <c r="E155" i="3"/>
  <c r="C154" i="3"/>
  <c r="C155" i="3" s="1"/>
  <c r="C134" i="3"/>
  <c r="C135" i="3" s="1"/>
  <c r="C124" i="3"/>
  <c r="C125" i="3" s="1"/>
  <c r="C139" i="3"/>
  <c r="C140" i="3" s="1"/>
  <c r="L14" i="3"/>
  <c r="E40" i="3"/>
  <c r="L7" i="3"/>
  <c r="C7" i="4" s="1"/>
  <c r="C144" i="3"/>
  <c r="C145" i="3" s="1"/>
  <c r="C104" i="3"/>
  <c r="C105" i="3" s="1"/>
  <c r="D179" i="3"/>
  <c r="D180" i="3" s="1"/>
  <c r="D99" i="3"/>
  <c r="D100" i="3" s="1"/>
  <c r="C119" i="3"/>
  <c r="C120" i="3" s="1"/>
  <c r="C44" i="3"/>
  <c r="C45" i="3" s="1"/>
  <c r="G75" i="3"/>
  <c r="D90" i="3"/>
  <c r="C99" i="3"/>
  <c r="C100" i="3" s="1"/>
  <c r="D110" i="3"/>
  <c r="D130" i="3"/>
  <c r="C149" i="3"/>
  <c r="C150" i="3" s="1"/>
  <c r="D160" i="3"/>
  <c r="E164" i="3"/>
  <c r="E165" i="3" s="1"/>
  <c r="D170" i="3"/>
  <c r="H180" i="3"/>
  <c r="C114" i="3"/>
  <c r="C115" i="3" s="1"/>
  <c r="D149" i="3"/>
  <c r="D150" i="3" s="1"/>
  <c r="D120" i="3"/>
  <c r="G125" i="3"/>
  <c r="D140" i="3"/>
  <c r="E144" i="3"/>
  <c r="E145" i="3" s="1"/>
  <c r="C179" i="3"/>
  <c r="C180" i="3" s="1"/>
  <c r="C79" i="3"/>
  <c r="C80" i="3" s="1"/>
  <c r="G95" i="3"/>
  <c r="G105" i="3"/>
  <c r="G115" i="3"/>
  <c r="G135" i="3"/>
  <c r="G155" i="3"/>
  <c r="G165" i="3"/>
  <c r="G175" i="3"/>
  <c r="C164" i="3"/>
  <c r="C165" i="3" s="1"/>
  <c r="H44" i="1"/>
  <c r="D44" i="1"/>
  <c r="H94" i="1"/>
  <c r="H49" i="1"/>
  <c r="C44" i="1"/>
  <c r="D159" i="1"/>
  <c r="D74" i="1"/>
  <c r="H89" i="1"/>
  <c r="D129" i="1"/>
  <c r="E49" i="1"/>
  <c r="H59" i="1"/>
  <c r="H79" i="1"/>
  <c r="D149" i="1"/>
  <c r="H74" i="1"/>
  <c r="G179" i="1"/>
  <c r="C74" i="1"/>
  <c r="H99" i="1"/>
  <c r="H109" i="1"/>
  <c r="E184" i="1"/>
  <c r="E74" i="1"/>
  <c r="D89" i="1"/>
  <c r="H104" i="1"/>
  <c r="H134" i="1"/>
  <c r="C144" i="1"/>
  <c r="C59" i="1"/>
  <c r="H69" i="1"/>
  <c r="E99" i="1"/>
  <c r="H154" i="1"/>
  <c r="D79" i="1"/>
  <c r="H114" i="1"/>
  <c r="H124" i="1"/>
  <c r="H144" i="1"/>
  <c r="H164" i="1"/>
  <c r="H64" i="1"/>
  <c r="H84" i="1"/>
  <c r="E134" i="1"/>
  <c r="H139" i="1"/>
  <c r="H149" i="1"/>
  <c r="H159" i="1"/>
  <c r="H169" i="1"/>
  <c r="C94" i="1"/>
  <c r="H179" i="1"/>
  <c r="D69" i="1"/>
  <c r="H129" i="1"/>
  <c r="H119" i="1"/>
  <c r="D114" i="1"/>
  <c r="D164" i="1"/>
  <c r="D174" i="1"/>
  <c r="G49" i="1"/>
  <c r="D64" i="1"/>
  <c r="D84" i="1"/>
  <c r="D94" i="1"/>
  <c r="D59" i="1"/>
  <c r="G89" i="1"/>
  <c r="D134" i="1"/>
  <c r="E44" i="1"/>
  <c r="D49" i="1"/>
  <c r="E59" i="1"/>
  <c r="E174" i="1"/>
  <c r="H174" i="1"/>
  <c r="E164" i="1"/>
  <c r="E159" i="1"/>
  <c r="E154" i="1"/>
  <c r="E144" i="1"/>
  <c r="E139" i="1"/>
  <c r="E129" i="1"/>
  <c r="E119" i="1"/>
  <c r="E114" i="1"/>
  <c r="E94" i="1"/>
  <c r="E89" i="1"/>
  <c r="E84" i="1"/>
  <c r="E79" i="1"/>
  <c r="G64" i="1"/>
  <c r="E64" i="1"/>
  <c r="C64" i="1"/>
  <c r="G163" i="1"/>
  <c r="G164" i="1" s="1"/>
  <c r="C173" i="1"/>
  <c r="C174" i="1" s="1"/>
  <c r="G113" i="1"/>
  <c r="G114" i="1" s="1"/>
  <c r="C163" i="1"/>
  <c r="C164" i="1" s="1"/>
  <c r="G128" i="1"/>
  <c r="G129" i="1" s="1"/>
  <c r="C68" i="1"/>
  <c r="C69" i="1" s="1"/>
  <c r="D103" i="1"/>
  <c r="D104" i="1" s="1"/>
  <c r="C108" i="1"/>
  <c r="C109" i="1" s="1"/>
  <c r="G118" i="1"/>
  <c r="G119" i="1" s="1"/>
  <c r="C138" i="1"/>
  <c r="C139" i="1" s="1"/>
  <c r="G148" i="1"/>
  <c r="G149" i="1" s="1"/>
  <c r="C83" i="1"/>
  <c r="C84" i="1" s="1"/>
  <c r="C98" i="1"/>
  <c r="C99" i="1" s="1"/>
  <c r="C123" i="1"/>
  <c r="C124" i="1" s="1"/>
  <c r="C88" i="1"/>
  <c r="C89" i="1" s="1"/>
  <c r="C103" i="1"/>
  <c r="C104" i="1" s="1"/>
  <c r="D123" i="1"/>
  <c r="D124" i="1" s="1"/>
  <c r="C148" i="1"/>
  <c r="C149" i="1" s="1"/>
  <c r="C178" i="1"/>
  <c r="C179" i="1" s="1"/>
  <c r="G123" i="1"/>
  <c r="G124" i="1" s="1"/>
  <c r="C133" i="1"/>
  <c r="C134" i="1" s="1"/>
  <c r="G158" i="1"/>
  <c r="G159" i="1" s="1"/>
  <c r="D108" i="1"/>
  <c r="D109" i="1" s="1"/>
  <c r="C158" i="1"/>
  <c r="C159" i="1" s="1"/>
  <c r="E178" i="1"/>
  <c r="E179" i="1" s="1"/>
  <c r="C78" i="1"/>
  <c r="C79" i="1" s="1"/>
  <c r="G83" i="1"/>
  <c r="G84" i="1" s="1"/>
  <c r="G93" i="1"/>
  <c r="G94" i="1" s="1"/>
  <c r="G153" i="1"/>
  <c r="G154" i="1" s="1"/>
  <c r="G143" i="1"/>
  <c r="G144" i="1" s="1"/>
  <c r="E148" i="1"/>
  <c r="E149" i="1" s="1"/>
  <c r="D168" i="1"/>
  <c r="D169" i="1" s="1"/>
  <c r="G73" i="1"/>
  <c r="G74" i="1" s="1"/>
  <c r="C48" i="1"/>
  <c r="C49" i="1" s="1"/>
  <c r="G168" i="1"/>
  <c r="G169" i="1" s="1"/>
  <c r="G103" i="1"/>
  <c r="G104" i="1" s="1"/>
  <c r="C153" i="1"/>
  <c r="C154" i="1" s="1"/>
  <c r="E168" i="1"/>
  <c r="E169" i="1" s="1"/>
  <c r="G108" i="1"/>
  <c r="G109" i="1" s="1"/>
  <c r="D153" i="1"/>
  <c r="D154" i="1" s="1"/>
  <c r="G58" i="1"/>
  <c r="G59" i="1" s="1"/>
  <c r="G68" i="1"/>
  <c r="G69" i="1" s="1"/>
  <c r="G78" i="1"/>
  <c r="G79" i="1" s="1"/>
  <c r="G98" i="1"/>
  <c r="G99" i="1" s="1"/>
  <c r="C118" i="1"/>
  <c r="C119" i="1" s="1"/>
  <c r="G133" i="1"/>
  <c r="G134" i="1" s="1"/>
  <c r="G138" i="1"/>
  <c r="G139" i="1" s="1"/>
  <c r="C168" i="1"/>
  <c r="C169" i="1" s="1"/>
  <c r="G173" i="1"/>
  <c r="G174" i="1" s="1"/>
  <c r="D178" i="1"/>
  <c r="D179" i="1" s="1"/>
  <c r="O18" i="2"/>
  <c r="R18" i="2"/>
  <c r="N18" i="2"/>
  <c r="M68" i="2"/>
  <c r="R103" i="2"/>
  <c r="O103" i="2"/>
  <c r="N103" i="2"/>
  <c r="R58" i="2"/>
  <c r="O58" i="2"/>
  <c r="N58" i="2"/>
  <c r="R53" i="2"/>
  <c r="O53" i="2"/>
  <c r="N53" i="2"/>
  <c r="R88" i="2"/>
  <c r="O88" i="2"/>
  <c r="N88" i="2"/>
  <c r="R33" i="2"/>
  <c r="O33" i="2"/>
  <c r="N33" i="2"/>
  <c r="R63" i="2"/>
  <c r="O63" i="2"/>
  <c r="N63" i="2"/>
  <c r="M8" i="2"/>
  <c r="M23" i="2"/>
  <c r="M13" i="2"/>
  <c r="M128" i="2"/>
  <c r="R123" i="2"/>
  <c r="O123" i="2"/>
  <c r="N123" i="2"/>
  <c r="M138" i="2"/>
  <c r="R73" i="2"/>
  <c r="O73" i="2"/>
  <c r="N73" i="2"/>
  <c r="R133" i="2"/>
  <c r="O133" i="2"/>
  <c r="N133" i="2"/>
  <c r="R78" i="2"/>
  <c r="O78" i="2"/>
  <c r="N78" i="2"/>
  <c r="R93" i="2"/>
  <c r="O93" i="2"/>
  <c r="N93" i="2"/>
  <c r="E67" i="2"/>
  <c r="E68" i="2" s="1"/>
  <c r="E82" i="2"/>
  <c r="E83" i="2" s="1"/>
  <c r="M83" i="2" s="1"/>
  <c r="E97" i="2"/>
  <c r="E98" i="2" s="1"/>
  <c r="M98" i="2" s="1"/>
  <c r="M38" i="2"/>
  <c r="E47" i="2"/>
  <c r="E48" i="2" s="1"/>
  <c r="E42" i="2"/>
  <c r="E43" i="2" s="1"/>
  <c r="M43" i="2" s="1"/>
  <c r="E27" i="2"/>
  <c r="E28" i="2" s="1"/>
  <c r="M28" i="2" s="1"/>
  <c r="M48" i="2"/>
  <c r="E117" i="2"/>
  <c r="E118" i="2" s="1"/>
  <c r="M118" i="2" s="1"/>
  <c r="G127" i="2"/>
  <c r="G128" i="2" s="1"/>
  <c r="F117" i="2"/>
  <c r="F118" i="2" s="1"/>
  <c r="E107" i="2"/>
  <c r="E108" i="2" s="1"/>
  <c r="M108" i="2" s="1"/>
  <c r="E127" i="2"/>
  <c r="E128" i="2" s="1"/>
  <c r="F112" i="2"/>
  <c r="F113" i="2" s="1"/>
  <c r="M113" i="2" s="1"/>
  <c r="C128" i="1"/>
  <c r="C129" i="1" s="1"/>
  <c r="G44" i="1"/>
  <c r="Q50" i="5" l="1"/>
  <c r="L135" i="5"/>
  <c r="L24" i="5" s="1"/>
  <c r="M50" i="5"/>
  <c r="K85" i="3"/>
  <c r="Q85" i="3" s="1"/>
  <c r="Q14" i="3" s="1"/>
  <c r="M85" i="3"/>
  <c r="K135" i="3"/>
  <c r="L135" i="3"/>
  <c r="L24" i="3" s="1"/>
  <c r="L65" i="3"/>
  <c r="K65" i="3"/>
  <c r="L45" i="3"/>
  <c r="L6" i="3" s="1"/>
  <c r="K45" i="3"/>
  <c r="L165" i="3"/>
  <c r="K165" i="3"/>
  <c r="L105" i="3"/>
  <c r="K105" i="3"/>
  <c r="K160" i="3"/>
  <c r="L160" i="3"/>
  <c r="L155" i="3"/>
  <c r="K155" i="3"/>
  <c r="L95" i="3"/>
  <c r="L16" i="3" s="1"/>
  <c r="K95" i="3"/>
  <c r="L75" i="3"/>
  <c r="K75" i="3"/>
  <c r="K120" i="3"/>
  <c r="L120" i="3"/>
  <c r="L21" i="3" s="1"/>
  <c r="K60" i="3"/>
  <c r="L60" i="3"/>
  <c r="L9" i="3" s="1"/>
  <c r="L170" i="3"/>
  <c r="K170" i="3"/>
  <c r="K80" i="3"/>
  <c r="L80" i="3"/>
  <c r="L13" i="3" s="1"/>
  <c r="K70" i="3"/>
  <c r="L70" i="3"/>
  <c r="K100" i="3"/>
  <c r="L100" i="3"/>
  <c r="L17" i="3" s="1"/>
  <c r="K150" i="3"/>
  <c r="L150" i="3"/>
  <c r="L27" i="3" s="1"/>
  <c r="L90" i="3"/>
  <c r="K90" i="3"/>
  <c r="L140" i="3"/>
  <c r="K140" i="3"/>
  <c r="K55" i="3"/>
  <c r="L55" i="3"/>
  <c r="L8" i="3" s="1"/>
  <c r="L125" i="3"/>
  <c r="K125" i="3"/>
  <c r="L175" i="3"/>
  <c r="K175" i="3"/>
  <c r="L115" i="3"/>
  <c r="K115" i="3"/>
  <c r="K20" i="3" s="1"/>
  <c r="L18" i="3"/>
  <c r="L110" i="3"/>
  <c r="K110" i="3"/>
  <c r="L22" i="3"/>
  <c r="K130" i="3"/>
  <c r="L130" i="3"/>
  <c r="K145" i="3"/>
  <c r="L145" i="3"/>
  <c r="K180" i="3"/>
  <c r="L180" i="3"/>
  <c r="L33" i="3" s="1"/>
  <c r="M49" i="3"/>
  <c r="Q49" i="3"/>
  <c r="Q7" i="3" s="1"/>
  <c r="N49" i="3"/>
  <c r="L40" i="3"/>
  <c r="L5" i="3" s="1"/>
  <c r="K40" i="3"/>
  <c r="N40" i="3" s="1"/>
  <c r="N5" i="3" s="1"/>
  <c r="L28" i="3"/>
  <c r="L110" i="5"/>
  <c r="L19" i="5" s="1"/>
  <c r="Q54" i="1"/>
  <c r="Q7" i="1" s="1"/>
  <c r="N54" i="1"/>
  <c r="N7" i="1" s="1"/>
  <c r="M54" i="1"/>
  <c r="M7" i="1" s="1"/>
  <c r="L69" i="1"/>
  <c r="L10" i="1" s="1"/>
  <c r="L139" i="1"/>
  <c r="L24" i="1" s="1"/>
  <c r="L154" i="1"/>
  <c r="L70" i="5"/>
  <c r="L11" i="5" s="1"/>
  <c r="L85" i="5"/>
  <c r="L14" i="5" s="1"/>
  <c r="L55" i="5"/>
  <c r="L45" i="5"/>
  <c r="L6" i="5" s="1"/>
  <c r="K175" i="5"/>
  <c r="K32" i="5" s="1"/>
  <c r="L145" i="5"/>
  <c r="L26" i="5" s="1"/>
  <c r="L175" i="5"/>
  <c r="L32" i="5" s="1"/>
  <c r="L44" i="1"/>
  <c r="L5" i="1" s="1"/>
  <c r="L30" i="3"/>
  <c r="L12" i="3"/>
  <c r="L29" i="3"/>
  <c r="L10" i="3"/>
  <c r="L184" i="1"/>
  <c r="L33" i="1" s="1"/>
  <c r="L20" i="3"/>
  <c r="L26" i="3"/>
  <c r="L25" i="3"/>
  <c r="K18" i="3"/>
  <c r="L95" i="5"/>
  <c r="L16" i="5" s="1"/>
  <c r="L75" i="5"/>
  <c r="L12" i="5" s="1"/>
  <c r="L180" i="5"/>
  <c r="L40" i="5"/>
  <c r="L5" i="5" s="1"/>
  <c r="L125" i="5"/>
  <c r="L22" i="5" s="1"/>
  <c r="K170" i="5"/>
  <c r="M170" i="5" s="1"/>
  <c r="M31" i="5" s="1"/>
  <c r="L160" i="5"/>
  <c r="L29" i="5" s="1"/>
  <c r="L100" i="5"/>
  <c r="L17" i="5" s="1"/>
  <c r="K110" i="5"/>
  <c r="K19" i="5" s="1"/>
  <c r="K55" i="5"/>
  <c r="L105" i="5"/>
  <c r="L18" i="5" s="1"/>
  <c r="K95" i="5"/>
  <c r="Q95" i="5" s="1"/>
  <c r="Q16" i="5" s="1"/>
  <c r="K45" i="5"/>
  <c r="M45" i="5" s="1"/>
  <c r="M6" i="5" s="1"/>
  <c r="K90" i="5"/>
  <c r="K15" i="5" s="1"/>
  <c r="K60" i="5"/>
  <c r="K9" i="5" s="1"/>
  <c r="K125" i="5"/>
  <c r="Q125" i="5" s="1"/>
  <c r="Q22" i="5" s="1"/>
  <c r="K140" i="5"/>
  <c r="K25" i="5" s="1"/>
  <c r="K115" i="5"/>
  <c r="M115" i="5" s="1"/>
  <c r="M20" i="5" s="1"/>
  <c r="K85" i="5"/>
  <c r="Q85" i="5" s="1"/>
  <c r="Q14" i="5" s="1"/>
  <c r="K80" i="5"/>
  <c r="K13" i="5" s="1"/>
  <c r="K40" i="5"/>
  <c r="N40" i="5" s="1"/>
  <c r="N5" i="5" s="1"/>
  <c r="K75" i="5"/>
  <c r="M75" i="5" s="1"/>
  <c r="M12" i="5" s="1"/>
  <c r="K135" i="5"/>
  <c r="Q135" i="5" s="1"/>
  <c r="Q24" i="5" s="1"/>
  <c r="K160" i="5"/>
  <c r="K29" i="5" s="1"/>
  <c r="K105" i="5"/>
  <c r="N105" i="5" s="1"/>
  <c r="N18" i="5" s="1"/>
  <c r="K65" i="5"/>
  <c r="Q65" i="5" s="1"/>
  <c r="Q10" i="5" s="1"/>
  <c r="K130" i="5"/>
  <c r="Q130" i="5" s="1"/>
  <c r="Q23" i="5" s="1"/>
  <c r="K145" i="5"/>
  <c r="K26" i="5" s="1"/>
  <c r="L60" i="5"/>
  <c r="L9" i="5" s="1"/>
  <c r="K155" i="5"/>
  <c r="M155" i="5" s="1"/>
  <c r="M28" i="5" s="1"/>
  <c r="K70" i="5"/>
  <c r="K11" i="5" s="1"/>
  <c r="L130" i="5"/>
  <c r="L23" i="5" s="1"/>
  <c r="K180" i="5"/>
  <c r="K165" i="5"/>
  <c r="Q165" i="5" s="1"/>
  <c r="Q30" i="5" s="1"/>
  <c r="K150" i="5"/>
  <c r="K120" i="5"/>
  <c r="L115" i="5"/>
  <c r="L20" i="5" s="1"/>
  <c r="L65" i="5"/>
  <c r="L10" i="5" s="1"/>
  <c r="L140" i="5"/>
  <c r="L25" i="5" s="1"/>
  <c r="L170" i="5"/>
  <c r="L31" i="5" s="1"/>
  <c r="L150" i="5"/>
  <c r="L27" i="5" s="1"/>
  <c r="L120" i="5"/>
  <c r="L21" i="5" s="1"/>
  <c r="L80" i="5"/>
  <c r="L13" i="5" s="1"/>
  <c r="L155" i="5"/>
  <c r="L28" i="5" s="1"/>
  <c r="K100" i="5"/>
  <c r="K12" i="3"/>
  <c r="K23" i="3"/>
  <c r="K28" i="3"/>
  <c r="K21" i="3"/>
  <c r="L23" i="3"/>
  <c r="K19" i="3"/>
  <c r="K11" i="3"/>
  <c r="K27" i="3"/>
  <c r="L32" i="3"/>
  <c r="L31" i="3"/>
  <c r="L19" i="3"/>
  <c r="L15" i="3"/>
  <c r="L11" i="3"/>
  <c r="K13" i="3"/>
  <c r="K7" i="3"/>
  <c r="B7" i="4" s="1"/>
  <c r="M7" i="3"/>
  <c r="N7" i="3"/>
  <c r="L94" i="1"/>
  <c r="L15" i="1" s="1"/>
  <c r="L124" i="1"/>
  <c r="L21" i="1" s="1"/>
  <c r="L79" i="1"/>
  <c r="L12" i="1" s="1"/>
  <c r="L104" i="1"/>
  <c r="L17" i="1" s="1"/>
  <c r="L49" i="1"/>
  <c r="L6" i="1" s="1"/>
  <c r="C6" i="4" s="1"/>
  <c r="L174" i="1"/>
  <c r="L31" i="1" s="1"/>
  <c r="L89" i="1"/>
  <c r="L14" i="1" s="1"/>
  <c r="C14" i="4" s="1"/>
  <c r="L179" i="1"/>
  <c r="L134" i="1"/>
  <c r="L23" i="1" s="1"/>
  <c r="L119" i="1"/>
  <c r="L20" i="1" s="1"/>
  <c r="L99" i="1"/>
  <c r="L16" i="1" s="1"/>
  <c r="K49" i="1"/>
  <c r="K6" i="1" s="1"/>
  <c r="L144" i="1"/>
  <c r="L25" i="1" s="1"/>
  <c r="L159" i="1"/>
  <c r="L28" i="1" s="1"/>
  <c r="L64" i="1"/>
  <c r="L9" i="1" s="1"/>
  <c r="K59" i="1"/>
  <c r="K8" i="1" s="1"/>
  <c r="L59" i="1"/>
  <c r="L8" i="1" s="1"/>
  <c r="K74" i="1"/>
  <c r="K11" i="1" s="1"/>
  <c r="L74" i="1"/>
  <c r="L11" i="1" s="1"/>
  <c r="L129" i="1"/>
  <c r="L22" i="1" s="1"/>
  <c r="L164" i="1"/>
  <c r="L109" i="1"/>
  <c r="L18" i="1" s="1"/>
  <c r="L169" i="1"/>
  <c r="L84" i="1"/>
  <c r="L13" i="1" s="1"/>
  <c r="L149" i="1"/>
  <c r="K114" i="1"/>
  <c r="K19" i="1" s="1"/>
  <c r="L114" i="1"/>
  <c r="L19" i="1" s="1"/>
  <c r="K184" i="1"/>
  <c r="K33" i="1" s="1"/>
  <c r="K89" i="1"/>
  <c r="K14" i="1" s="1"/>
  <c r="K144" i="1"/>
  <c r="K25" i="1" s="1"/>
  <c r="K44" i="1"/>
  <c r="K5" i="1" s="1"/>
  <c r="K94" i="1"/>
  <c r="K15" i="1" s="1"/>
  <c r="K174" i="1"/>
  <c r="K31" i="1" s="1"/>
  <c r="K64" i="1"/>
  <c r="K9" i="1" s="1"/>
  <c r="K164" i="1"/>
  <c r="K129" i="1"/>
  <c r="K22" i="1" s="1"/>
  <c r="K134" i="1"/>
  <c r="K23" i="1" s="1"/>
  <c r="K99" i="1"/>
  <c r="K16" i="1" s="1"/>
  <c r="K159" i="1"/>
  <c r="K28" i="1" s="1"/>
  <c r="K139" i="1"/>
  <c r="K24" i="1" s="1"/>
  <c r="K69" i="1"/>
  <c r="K10" i="1" s="1"/>
  <c r="K149" i="1"/>
  <c r="K124" i="1"/>
  <c r="K21" i="1" s="1"/>
  <c r="K119" i="1"/>
  <c r="K20" i="1" s="1"/>
  <c r="K179" i="1"/>
  <c r="K104" i="1"/>
  <c r="K17" i="1" s="1"/>
  <c r="K84" i="1"/>
  <c r="K13" i="1" s="1"/>
  <c r="K109" i="1"/>
  <c r="K18" i="1" s="1"/>
  <c r="K154" i="1"/>
  <c r="K169" i="1"/>
  <c r="K79" i="1"/>
  <c r="K12" i="1" s="1"/>
  <c r="R98" i="2"/>
  <c r="O98" i="2"/>
  <c r="N98" i="2"/>
  <c r="O28" i="2"/>
  <c r="N28" i="2"/>
  <c r="R28" i="2"/>
  <c r="R113" i="2"/>
  <c r="O113" i="2"/>
  <c r="N113" i="2"/>
  <c r="R43" i="2"/>
  <c r="O43" i="2"/>
  <c r="N43" i="2"/>
  <c r="R83" i="2"/>
  <c r="O83" i="2"/>
  <c r="N83" i="2"/>
  <c r="R118" i="2"/>
  <c r="O118" i="2"/>
  <c r="N118" i="2"/>
  <c r="R108" i="2"/>
  <c r="O108" i="2"/>
  <c r="N108" i="2"/>
  <c r="R128" i="2"/>
  <c r="O128" i="2"/>
  <c r="N128" i="2"/>
  <c r="N13" i="2"/>
  <c r="R13" i="2"/>
  <c r="O13" i="2"/>
  <c r="R138" i="2"/>
  <c r="O138" i="2"/>
  <c r="N138" i="2"/>
  <c r="R8" i="2"/>
  <c r="N8" i="2"/>
  <c r="O8" i="2"/>
  <c r="R23" i="2"/>
  <c r="N23" i="2"/>
  <c r="O23" i="2"/>
  <c r="R48" i="2"/>
  <c r="O48" i="2"/>
  <c r="N48" i="2"/>
  <c r="R38" i="2"/>
  <c r="O38" i="2"/>
  <c r="N38" i="2"/>
  <c r="R68" i="2"/>
  <c r="O68" i="2"/>
  <c r="N68" i="2"/>
  <c r="M174" i="1"/>
  <c r="M31" i="1" s="1"/>
  <c r="M74" i="1"/>
  <c r="M11" i="1" s="1"/>
  <c r="E7" i="4" l="1"/>
  <c r="D7" i="4"/>
  <c r="C15" i="4"/>
  <c r="C20" i="4"/>
  <c r="C8" i="4"/>
  <c r="C17" i="4"/>
  <c r="C13" i="4"/>
  <c r="C24" i="4"/>
  <c r="C19" i="4"/>
  <c r="B11" i="4"/>
  <c r="B28" i="4"/>
  <c r="B18" i="4"/>
  <c r="C28" i="4"/>
  <c r="C18" i="4"/>
  <c r="C9" i="4"/>
  <c r="B13" i="4"/>
  <c r="C31" i="4"/>
  <c r="B19" i="4"/>
  <c r="B23" i="4"/>
  <c r="C25" i="4"/>
  <c r="C10" i="4"/>
  <c r="G7" i="4"/>
  <c r="C22" i="4"/>
  <c r="B20" i="4"/>
  <c r="C21" i="4"/>
  <c r="B21" i="4"/>
  <c r="C12" i="4"/>
  <c r="C11" i="4"/>
  <c r="C23" i="4"/>
  <c r="B12" i="4"/>
  <c r="C16" i="4"/>
  <c r="K8" i="5"/>
  <c r="K7" i="5"/>
  <c r="L8" i="5"/>
  <c r="L7" i="5"/>
  <c r="L33" i="5"/>
  <c r="N180" i="5"/>
  <c r="N85" i="3"/>
  <c r="M40" i="3"/>
  <c r="M5" i="3" s="1"/>
  <c r="Q40" i="3"/>
  <c r="Q5" i="3" s="1"/>
  <c r="K5" i="3"/>
  <c r="L34" i="3"/>
  <c r="Q115" i="3"/>
  <c r="Q20" i="3" s="1"/>
  <c r="N115" i="3"/>
  <c r="M115" i="3"/>
  <c r="M20" i="3" s="1"/>
  <c r="Q125" i="3"/>
  <c r="M125" i="3"/>
  <c r="M22" i="3" s="1"/>
  <c r="N125" i="3"/>
  <c r="N22" i="3" s="1"/>
  <c r="Q140" i="3"/>
  <c r="N140" i="3"/>
  <c r="N25" i="3" s="1"/>
  <c r="M140" i="3"/>
  <c r="M25" i="3" s="1"/>
  <c r="Q170" i="3"/>
  <c r="N170" i="3"/>
  <c r="N31" i="3" s="1"/>
  <c r="M170" i="3"/>
  <c r="N95" i="3"/>
  <c r="N16" i="3" s="1"/>
  <c r="Q95" i="3"/>
  <c r="M95" i="3"/>
  <c r="M16" i="3" s="1"/>
  <c r="Q135" i="3"/>
  <c r="N135" i="3"/>
  <c r="N24" i="3" s="1"/>
  <c r="M135" i="3"/>
  <c r="Q145" i="3"/>
  <c r="Q26" i="3" s="1"/>
  <c r="N145" i="3"/>
  <c r="M145" i="3"/>
  <c r="M26" i="3" s="1"/>
  <c r="Q110" i="3"/>
  <c r="N110" i="3"/>
  <c r="N19" i="3" s="1"/>
  <c r="M110" i="3"/>
  <c r="Q150" i="3"/>
  <c r="Q27" i="3" s="1"/>
  <c r="M150" i="3"/>
  <c r="N150" i="3"/>
  <c r="N27" i="3" s="1"/>
  <c r="Q70" i="3"/>
  <c r="M70" i="3"/>
  <c r="M11" i="3" s="1"/>
  <c r="D11" i="4" s="1"/>
  <c r="N70" i="3"/>
  <c r="Q120" i="3"/>
  <c r="M120" i="3"/>
  <c r="N120" i="3"/>
  <c r="Q160" i="3"/>
  <c r="M160" i="3"/>
  <c r="M29" i="3" s="1"/>
  <c r="N160" i="3"/>
  <c r="Q165" i="3"/>
  <c r="Q30" i="3" s="1"/>
  <c r="N165" i="3"/>
  <c r="N30" i="3" s="1"/>
  <c r="M165" i="3"/>
  <c r="M30" i="3" s="1"/>
  <c r="Q65" i="3"/>
  <c r="Q10" i="3" s="1"/>
  <c r="M65" i="3"/>
  <c r="N65" i="3"/>
  <c r="Q175" i="3"/>
  <c r="Q32" i="3" s="1"/>
  <c r="M175" i="3"/>
  <c r="N175" i="3"/>
  <c r="N32" i="3" s="1"/>
  <c r="Q90" i="3"/>
  <c r="M90" i="3"/>
  <c r="M15" i="3" s="1"/>
  <c r="N90" i="3"/>
  <c r="Q75" i="3"/>
  <c r="Q12" i="3" s="1"/>
  <c r="M75" i="3"/>
  <c r="N75" i="3"/>
  <c r="N12" i="3" s="1"/>
  <c r="Q155" i="3"/>
  <c r="M155" i="3"/>
  <c r="M28" i="3" s="1"/>
  <c r="N155" i="3"/>
  <c r="Q105" i="3"/>
  <c r="N105" i="3"/>
  <c r="M105" i="3"/>
  <c r="M18" i="3" s="1"/>
  <c r="Q180" i="3"/>
  <c r="Q33" i="3" s="1"/>
  <c r="N180" i="3"/>
  <c r="N33" i="3" s="1"/>
  <c r="M180" i="3"/>
  <c r="M33" i="3" s="1"/>
  <c r="K33" i="3"/>
  <c r="Q130" i="3"/>
  <c r="N130" i="3"/>
  <c r="N23" i="3" s="1"/>
  <c r="M130" i="3"/>
  <c r="Q55" i="3"/>
  <c r="Q8" i="3" s="1"/>
  <c r="N55" i="3"/>
  <c r="M55" i="3"/>
  <c r="M8" i="3" s="1"/>
  <c r="Q100" i="3"/>
  <c r="M100" i="3"/>
  <c r="M17" i="3" s="1"/>
  <c r="N100" i="3"/>
  <c r="Q80" i="3"/>
  <c r="Q13" i="3" s="1"/>
  <c r="M80" i="3"/>
  <c r="M13" i="3" s="1"/>
  <c r="N80" i="3"/>
  <c r="N13" i="3" s="1"/>
  <c r="Q60" i="3"/>
  <c r="Q9" i="3" s="1"/>
  <c r="M60" i="3"/>
  <c r="M9" i="3" s="1"/>
  <c r="N60" i="3"/>
  <c r="Q45" i="3"/>
  <c r="Q6" i="3" s="1"/>
  <c r="N45" i="3"/>
  <c r="N6" i="3" s="1"/>
  <c r="M45" i="3"/>
  <c r="M6" i="3" s="1"/>
  <c r="M31" i="3"/>
  <c r="D31" i="4" s="1"/>
  <c r="K31" i="3"/>
  <c r="B31" i="4" s="1"/>
  <c r="Q59" i="1"/>
  <c r="Q8" i="1" s="1"/>
  <c r="Q49" i="1"/>
  <c r="Q6" i="1" s="1"/>
  <c r="N44" i="1"/>
  <c r="N5" i="1" s="1"/>
  <c r="E5" i="4" s="1"/>
  <c r="N64" i="1"/>
  <c r="N9" i="1" s="1"/>
  <c r="M144" i="1"/>
  <c r="M25" i="1" s="1"/>
  <c r="Q74" i="1"/>
  <c r="Q11" i="1" s="1"/>
  <c r="C5" i="4"/>
  <c r="N175" i="5"/>
  <c r="N32" i="5" s="1"/>
  <c r="Q175" i="5"/>
  <c r="Q32" i="5" s="1"/>
  <c r="M175" i="5"/>
  <c r="M32" i="5" s="1"/>
  <c r="Q170" i="5"/>
  <c r="Q31" i="5" s="1"/>
  <c r="K10" i="3"/>
  <c r="B10" i="4" s="1"/>
  <c r="Q18" i="3"/>
  <c r="K25" i="3"/>
  <c r="B25" i="4" s="1"/>
  <c r="N18" i="3"/>
  <c r="K8" i="3"/>
  <c r="B8" i="4" s="1"/>
  <c r="Q25" i="3"/>
  <c r="Q31" i="3"/>
  <c r="N10" i="3"/>
  <c r="M10" i="3"/>
  <c r="M12" i="3"/>
  <c r="N160" i="5"/>
  <c r="N29" i="5" s="1"/>
  <c r="M125" i="5"/>
  <c r="M22" i="5" s="1"/>
  <c r="N110" i="5"/>
  <c r="N19" i="5" s="1"/>
  <c r="K6" i="5"/>
  <c r="N55" i="5"/>
  <c r="K31" i="5"/>
  <c r="N170" i="5"/>
  <c r="N31" i="5" s="1"/>
  <c r="K22" i="5"/>
  <c r="K16" i="5"/>
  <c r="N125" i="5"/>
  <c r="N22" i="5" s="1"/>
  <c r="N95" i="5"/>
  <c r="N16" i="5" s="1"/>
  <c r="N130" i="5"/>
  <c r="N23" i="5" s="1"/>
  <c r="M95" i="5"/>
  <c r="M16" i="5" s="1"/>
  <c r="Q110" i="5"/>
  <c r="Q19" i="5" s="1"/>
  <c r="M110" i="5"/>
  <c r="M19" i="5" s="1"/>
  <c r="Q55" i="5"/>
  <c r="M55" i="5"/>
  <c r="K12" i="5"/>
  <c r="N140" i="5"/>
  <c r="N25" i="5" s="1"/>
  <c r="M40" i="5"/>
  <c r="M5" i="5" s="1"/>
  <c r="Q45" i="5"/>
  <c r="Q6" i="5" s="1"/>
  <c r="K20" i="5"/>
  <c r="Q70" i="5"/>
  <c r="Q11" i="5" s="1"/>
  <c r="N75" i="5"/>
  <c r="N12" i="5" s="1"/>
  <c r="Q40" i="5"/>
  <c r="Q5" i="5" s="1"/>
  <c r="N115" i="5"/>
  <c r="N20" i="5" s="1"/>
  <c r="N45" i="5"/>
  <c r="N6" i="5" s="1"/>
  <c r="Q115" i="5"/>
  <c r="Q20" i="5" s="1"/>
  <c r="Q75" i="5"/>
  <c r="Q12" i="5" s="1"/>
  <c r="N90" i="5"/>
  <c r="N15" i="5" s="1"/>
  <c r="Q105" i="5"/>
  <c r="Q18" i="5" s="1"/>
  <c r="M90" i="5"/>
  <c r="M15" i="5" s="1"/>
  <c r="M65" i="5"/>
  <c r="M10" i="5" s="1"/>
  <c r="N60" i="5"/>
  <c r="N9" i="5" s="1"/>
  <c r="N145" i="5"/>
  <c r="N26" i="5" s="1"/>
  <c r="M135" i="5"/>
  <c r="M24" i="5" s="1"/>
  <c r="Q60" i="5"/>
  <c r="Q9" i="5" s="1"/>
  <c r="M60" i="5"/>
  <c r="M9" i="5" s="1"/>
  <c r="M85" i="5"/>
  <c r="M14" i="5" s="1"/>
  <c r="M160" i="5"/>
  <c r="M29" i="5" s="1"/>
  <c r="M140" i="5"/>
  <c r="M25" i="5" s="1"/>
  <c r="Q145" i="5"/>
  <c r="Q26" i="5" s="1"/>
  <c r="Q90" i="5"/>
  <c r="Q15" i="5" s="1"/>
  <c r="K5" i="5"/>
  <c r="Q160" i="5"/>
  <c r="Q29" i="5" s="1"/>
  <c r="Q140" i="5"/>
  <c r="Q25" i="5" s="1"/>
  <c r="K30" i="5"/>
  <c r="M165" i="5"/>
  <c r="M30" i="5" s="1"/>
  <c r="K14" i="5"/>
  <c r="K10" i="5"/>
  <c r="K24" i="5"/>
  <c r="N85" i="5"/>
  <c r="N14" i="5" s="1"/>
  <c r="N65" i="5"/>
  <c r="N10" i="5" s="1"/>
  <c r="N135" i="5"/>
  <c r="N24" i="5" s="1"/>
  <c r="M130" i="5"/>
  <c r="M23" i="5" s="1"/>
  <c r="N80" i="5"/>
  <c r="N13" i="5" s="1"/>
  <c r="K33" i="5"/>
  <c r="K28" i="5"/>
  <c r="N155" i="5"/>
  <c r="N28" i="5" s="1"/>
  <c r="K23" i="5"/>
  <c r="M80" i="5"/>
  <c r="M13" i="5" s="1"/>
  <c r="N165" i="5"/>
  <c r="N30" i="5" s="1"/>
  <c r="M180" i="5"/>
  <c r="M145" i="5"/>
  <c r="M26" i="5" s="1"/>
  <c r="Q155" i="5"/>
  <c r="Q28" i="5" s="1"/>
  <c r="Q80" i="5"/>
  <c r="Q13" i="5" s="1"/>
  <c r="M105" i="5"/>
  <c r="M18" i="5" s="1"/>
  <c r="Q180" i="5"/>
  <c r="K18" i="5"/>
  <c r="N70" i="5"/>
  <c r="N11" i="5" s="1"/>
  <c r="M70" i="5"/>
  <c r="M11" i="5" s="1"/>
  <c r="Q100" i="5"/>
  <c r="Q17" i="5" s="1"/>
  <c r="M100" i="5"/>
  <c r="M17" i="5" s="1"/>
  <c r="N100" i="5"/>
  <c r="N17" i="5" s="1"/>
  <c r="K17" i="5"/>
  <c r="Q120" i="5"/>
  <c r="Q21" i="5" s="1"/>
  <c r="M120" i="5"/>
  <c r="M21" i="5" s="1"/>
  <c r="N120" i="5"/>
  <c r="N21" i="5" s="1"/>
  <c r="K21" i="5"/>
  <c r="Q150" i="5"/>
  <c r="Q27" i="5" s="1"/>
  <c r="M150" i="5"/>
  <c r="M27" i="5" s="1"/>
  <c r="N150" i="5"/>
  <c r="N27" i="5" s="1"/>
  <c r="K27" i="5"/>
  <c r="K30" i="3"/>
  <c r="M23" i="3"/>
  <c r="Q23" i="3"/>
  <c r="M14" i="3"/>
  <c r="N15" i="3"/>
  <c r="M19" i="3"/>
  <c r="N14" i="3"/>
  <c r="K15" i="3"/>
  <c r="B15" i="4" s="1"/>
  <c r="Q15" i="3"/>
  <c r="N11" i="3"/>
  <c r="K14" i="3"/>
  <c r="B14" i="4" s="1"/>
  <c r="M24" i="3"/>
  <c r="N21" i="3"/>
  <c r="M21" i="3"/>
  <c r="N8" i="3"/>
  <c r="N28" i="3"/>
  <c r="Q28" i="3"/>
  <c r="M27" i="3"/>
  <c r="Q24" i="3"/>
  <c r="Q21" i="3"/>
  <c r="K6" i="3"/>
  <c r="K24" i="3"/>
  <c r="B24" i="4" s="1"/>
  <c r="Q22" i="3"/>
  <c r="Q16" i="3"/>
  <c r="K9" i="3"/>
  <c r="B9" i="4" s="1"/>
  <c r="K16" i="3"/>
  <c r="B16" i="4" s="1"/>
  <c r="K32" i="3"/>
  <c r="N9" i="3"/>
  <c r="K26" i="3"/>
  <c r="Q11" i="3"/>
  <c r="G11" i="4" s="1"/>
  <c r="N26" i="3"/>
  <c r="Q19" i="3"/>
  <c r="K22" i="3"/>
  <c r="B22" i="4" s="1"/>
  <c r="C33" i="4"/>
  <c r="M32" i="3"/>
  <c r="N20" i="3"/>
  <c r="Q17" i="3"/>
  <c r="N17" i="3"/>
  <c r="K17" i="3"/>
  <c r="B17" i="4" s="1"/>
  <c r="Q29" i="3"/>
  <c r="N29" i="3"/>
  <c r="K29" i="3"/>
  <c r="M59" i="1"/>
  <c r="M8" i="1" s="1"/>
  <c r="N74" i="1"/>
  <c r="N11" i="1" s="1"/>
  <c r="N59" i="1"/>
  <c r="N8" i="1" s="1"/>
  <c r="N144" i="1"/>
  <c r="N25" i="1" s="1"/>
  <c r="M49" i="1"/>
  <c r="M6" i="1" s="1"/>
  <c r="M64" i="1"/>
  <c r="M9" i="1" s="1"/>
  <c r="N49" i="1"/>
  <c r="N6" i="1" s="1"/>
  <c r="M44" i="1"/>
  <c r="M5" i="1" s="1"/>
  <c r="M89" i="1"/>
  <c r="M14" i="1" s="1"/>
  <c r="M114" i="1"/>
  <c r="M19" i="1" s="1"/>
  <c r="N89" i="1"/>
  <c r="N14" i="1" s="1"/>
  <c r="N114" i="1"/>
  <c r="N19" i="1" s="1"/>
  <c r="Q89" i="1"/>
  <c r="Q14" i="1" s="1"/>
  <c r="G14" i="4" s="1"/>
  <c r="Q114" i="1"/>
  <c r="Q19" i="1" s="1"/>
  <c r="Q184" i="1"/>
  <c r="Q33" i="1" s="1"/>
  <c r="N184" i="1"/>
  <c r="N33" i="1" s="1"/>
  <c r="M184" i="1"/>
  <c r="M33" i="1" s="1"/>
  <c r="Q109" i="1"/>
  <c r="Q18" i="1" s="1"/>
  <c r="Q139" i="1"/>
  <c r="Q24" i="1" s="1"/>
  <c r="N129" i="1"/>
  <c r="N22" i="1" s="1"/>
  <c r="N94" i="1"/>
  <c r="N15" i="1" s="1"/>
  <c r="M79" i="1"/>
  <c r="M12" i="1" s="1"/>
  <c r="M84" i="1"/>
  <c r="M13" i="1" s="1"/>
  <c r="Q124" i="1"/>
  <c r="Q21" i="1" s="1"/>
  <c r="Q159" i="1"/>
  <c r="Q28" i="1" s="1"/>
  <c r="M164" i="1"/>
  <c r="Q44" i="1"/>
  <c r="Q5" i="1" s="1"/>
  <c r="N119" i="1"/>
  <c r="N20" i="1" s="1"/>
  <c r="M94" i="1"/>
  <c r="M15" i="1" s="1"/>
  <c r="N169" i="1"/>
  <c r="N104" i="1"/>
  <c r="N17" i="1" s="1"/>
  <c r="Q149" i="1"/>
  <c r="Q99" i="1"/>
  <c r="Q16" i="1" s="1"/>
  <c r="Q64" i="1"/>
  <c r="Q9" i="1" s="1"/>
  <c r="Q144" i="1"/>
  <c r="Q25" i="1" s="1"/>
  <c r="Q94" i="1"/>
  <c r="Q15" i="1" s="1"/>
  <c r="Q129" i="1"/>
  <c r="Q22" i="1" s="1"/>
  <c r="Q164" i="1"/>
  <c r="Q154" i="1"/>
  <c r="N179" i="1"/>
  <c r="Q69" i="1"/>
  <c r="Q10" i="1" s="1"/>
  <c r="Q134" i="1"/>
  <c r="Q23" i="1" s="1"/>
  <c r="Q174" i="1"/>
  <c r="Q31" i="1" s="1"/>
  <c r="N174" i="1"/>
  <c r="N31" i="1" s="1"/>
  <c r="M139" i="1"/>
  <c r="M24" i="1" s="1"/>
  <c r="M129" i="1"/>
  <c r="M22" i="1" s="1"/>
  <c r="N139" i="1"/>
  <c r="N24" i="1" s="1"/>
  <c r="N164" i="1"/>
  <c r="M69" i="1"/>
  <c r="M10" i="1" s="1"/>
  <c r="N134" i="1"/>
  <c r="N23" i="1" s="1"/>
  <c r="N84" i="1"/>
  <c r="N13" i="1" s="1"/>
  <c r="N69" i="1"/>
  <c r="N10" i="1" s="1"/>
  <c r="N99" i="1"/>
  <c r="N16" i="1" s="1"/>
  <c r="M99" i="1"/>
  <c r="M16" i="1" s="1"/>
  <c r="M134" i="1"/>
  <c r="M23" i="1" s="1"/>
  <c r="M169" i="1"/>
  <c r="M149" i="1"/>
  <c r="M159" i="1"/>
  <c r="M28" i="1" s="1"/>
  <c r="N159" i="1"/>
  <c r="N28" i="1" s="1"/>
  <c r="N124" i="1"/>
  <c r="N21" i="1" s="1"/>
  <c r="N79" i="1"/>
  <c r="N12" i="1" s="1"/>
  <c r="Q84" i="1"/>
  <c r="Q13" i="1" s="1"/>
  <c r="M124" i="1"/>
  <c r="M21" i="1" s="1"/>
  <c r="N149" i="1"/>
  <c r="Q119" i="1"/>
  <c r="Q20" i="1" s="1"/>
  <c r="N154" i="1"/>
  <c r="M154" i="1"/>
  <c r="M104" i="1"/>
  <c r="M17" i="1" s="1"/>
  <c r="Q104" i="1"/>
  <c r="Q17" i="1" s="1"/>
  <c r="M119" i="1"/>
  <c r="M20" i="1" s="1"/>
  <c r="M179" i="1"/>
  <c r="Q179" i="1"/>
  <c r="M109" i="1"/>
  <c r="M18" i="1" s="1"/>
  <c r="N109" i="1"/>
  <c r="N18" i="1" s="1"/>
  <c r="Q169" i="1"/>
  <c r="Q79" i="1"/>
  <c r="Q12" i="1" s="1"/>
  <c r="E9" i="4" l="1"/>
  <c r="E20" i="4"/>
  <c r="G16" i="4"/>
  <c r="G21" i="4"/>
  <c r="E28" i="4"/>
  <c r="D24" i="4"/>
  <c r="D14" i="4"/>
  <c r="D10" i="4"/>
  <c r="G6" i="4"/>
  <c r="E13" i="4"/>
  <c r="D17" i="4"/>
  <c r="G8" i="4"/>
  <c r="D18" i="4"/>
  <c r="G12" i="4"/>
  <c r="E24" i="4"/>
  <c r="E16" i="4"/>
  <c r="D25" i="4"/>
  <c r="G20" i="4"/>
  <c r="G22" i="4"/>
  <c r="G24" i="4"/>
  <c r="E8" i="4"/>
  <c r="E14" i="4"/>
  <c r="G23" i="4"/>
  <c r="E10" i="4"/>
  <c r="E18" i="4"/>
  <c r="D13" i="4"/>
  <c r="G10" i="4"/>
  <c r="E25" i="4"/>
  <c r="E17" i="4"/>
  <c r="D21" i="4"/>
  <c r="E11" i="4"/>
  <c r="D19" i="4"/>
  <c r="D23" i="4"/>
  <c r="G31" i="4"/>
  <c r="D9" i="4"/>
  <c r="G13" i="4"/>
  <c r="D8" i="4"/>
  <c r="E23" i="4"/>
  <c r="E33" i="4"/>
  <c r="E12" i="4"/>
  <c r="D15" i="4"/>
  <c r="E19" i="4"/>
  <c r="D16" i="4"/>
  <c r="E31" i="4"/>
  <c r="D20" i="4"/>
  <c r="G19" i="4"/>
  <c r="D28" i="4"/>
  <c r="D22" i="4"/>
  <c r="G17" i="4"/>
  <c r="G28" i="4"/>
  <c r="E21" i="4"/>
  <c r="G15" i="4"/>
  <c r="E15" i="4"/>
  <c r="D12" i="4"/>
  <c r="G25" i="4"/>
  <c r="G18" i="4"/>
  <c r="E6" i="4"/>
  <c r="G9" i="4"/>
  <c r="G33" i="4"/>
  <c r="E22" i="4"/>
  <c r="L34" i="5"/>
  <c r="M8" i="5"/>
  <c r="M7" i="5"/>
  <c r="N8" i="5"/>
  <c r="N7" i="5"/>
  <c r="Q8" i="5"/>
  <c r="Q7" i="5"/>
  <c r="Q33" i="5"/>
  <c r="N33" i="5"/>
  <c r="M33" i="5"/>
  <c r="D6" i="4"/>
  <c r="M34" i="3"/>
  <c r="B6" i="4"/>
  <c r="K34" i="3"/>
  <c r="L34" i="1"/>
  <c r="G5" i="4"/>
  <c r="K34" i="5"/>
  <c r="B33" i="4"/>
  <c r="D33" i="4"/>
  <c r="B5" i="4"/>
  <c r="K34" i="1"/>
  <c r="D5" i="4"/>
  <c r="M34" i="5" l="1"/>
  <c r="M34" i="1"/>
</calcChain>
</file>

<file path=xl/sharedStrings.xml><?xml version="1.0" encoding="utf-8"?>
<sst xmlns="http://schemas.openxmlformats.org/spreadsheetml/2006/main" count="1192" uniqueCount="91">
  <si>
    <t>Woodcutting post</t>
  </si>
  <si>
    <t>Workers</t>
  </si>
  <si>
    <t>Daily Prod 1</t>
  </si>
  <si>
    <t>Daily Prod 2</t>
  </si>
  <si>
    <t>Daily Prod 3</t>
  </si>
  <si>
    <t>Oil Refinery</t>
  </si>
  <si>
    <t>Daily Con 1</t>
  </si>
  <si>
    <t>Daily Con 2</t>
  </si>
  <si>
    <t>Food Factory</t>
  </si>
  <si>
    <t>Total Value</t>
  </si>
  <si>
    <t>Unit Value</t>
  </si>
  <si>
    <t>Profit</t>
  </si>
  <si>
    <t>Margin</t>
  </si>
  <si>
    <t>Sell</t>
  </si>
  <si>
    <t>Buy</t>
  </si>
  <si>
    <t>Power</t>
  </si>
  <si>
    <t>Gravel</t>
  </si>
  <si>
    <t>Stone</t>
  </si>
  <si>
    <t>Crops</t>
  </si>
  <si>
    <t>Steel</t>
  </si>
  <si>
    <t>Prefab</t>
  </si>
  <si>
    <t>Bricks</t>
  </si>
  <si>
    <t>Wood</t>
  </si>
  <si>
    <t>Oil</t>
  </si>
  <si>
    <t>Chemicals</t>
  </si>
  <si>
    <t>Coal</t>
  </si>
  <si>
    <t>Coal ore</t>
  </si>
  <si>
    <t>Iron</t>
  </si>
  <si>
    <t>Iron ore</t>
  </si>
  <si>
    <t>Bitumen</t>
  </si>
  <si>
    <t>Boards</t>
  </si>
  <si>
    <t>Fuel</t>
  </si>
  <si>
    <t>Fabric</t>
  </si>
  <si>
    <t>Alcohol</t>
  </si>
  <si>
    <t>Cement</t>
  </si>
  <si>
    <t>Food</t>
  </si>
  <si>
    <t>Clothes</t>
  </si>
  <si>
    <t>Meat</t>
  </si>
  <si>
    <t>Livestock</t>
  </si>
  <si>
    <t>Asphalt</t>
  </si>
  <si>
    <t>Concrete</t>
  </si>
  <si>
    <t>Electro</t>
  </si>
  <si>
    <t>Mech</t>
  </si>
  <si>
    <t>Plastics</t>
  </si>
  <si>
    <t>Electronics</t>
  </si>
  <si>
    <t>Product</t>
  </si>
  <si>
    <t>Daily Con 3</t>
  </si>
  <si>
    <t>Sawmill</t>
  </si>
  <si>
    <t>Cost</t>
  </si>
  <si>
    <t>Payback Workdays</t>
  </si>
  <si>
    <t>Iron Mine</t>
  </si>
  <si>
    <t>Iron Processing</t>
  </si>
  <si>
    <t>Profit / Workday</t>
  </si>
  <si>
    <t>Steel Mill</t>
  </si>
  <si>
    <t>Coal Mine</t>
  </si>
  <si>
    <t>Coal Processing</t>
  </si>
  <si>
    <t>Coal Ore</t>
  </si>
  <si>
    <t>Brick Factory</t>
  </si>
  <si>
    <t>Coal Power</t>
  </si>
  <si>
    <t>Quarry</t>
  </si>
  <si>
    <t>Gravel Plant</t>
  </si>
  <si>
    <t>Cement Plant</t>
  </si>
  <si>
    <t>Concrete Plant</t>
  </si>
  <si>
    <t>Oil rig</t>
  </si>
  <si>
    <t>Refinery</t>
  </si>
  <si>
    <t>Livestock Farm</t>
  </si>
  <si>
    <t>Slaughterhouse</t>
  </si>
  <si>
    <t>Distillery</t>
  </si>
  <si>
    <t>Delivery/t</t>
  </si>
  <si>
    <t>Chemical Plant</t>
  </si>
  <si>
    <t>Plastics Factory</t>
  </si>
  <si>
    <t>Mech Component</t>
  </si>
  <si>
    <t>Elect Comp</t>
  </si>
  <si>
    <t>Clothing Factory</t>
  </si>
  <si>
    <t>Elect Assembly</t>
  </si>
  <si>
    <t>Rev / Workday</t>
  </si>
  <si>
    <t>Prefab Factory</t>
  </si>
  <si>
    <t>Prefab factory</t>
  </si>
  <si>
    <t>Paste values from "data.tsv" into cell A5.</t>
  </si>
  <si>
    <t>This table is your guide to which industries MIGHT be profitable for trade.</t>
  </si>
  <si>
    <t>Import cost / t</t>
  </si>
  <si>
    <t>Export cost / t</t>
  </si>
  <si>
    <t>Everything below here is the raw calculations for building profitability. Not recommended to modify.</t>
  </si>
  <si>
    <t>Woodcutting Post</t>
  </si>
  <si>
    <t>Coal Power Plant</t>
  </si>
  <si>
    <t>Gravel Processing</t>
  </si>
  <si>
    <t>Oil Rig</t>
  </si>
  <si>
    <t>Asphalt Plant</t>
  </si>
  <si>
    <t>Fabric Factory</t>
  </si>
  <si>
    <t>Below, enter your transport/fuel cost assumptions, and current trade prices.</t>
  </si>
  <si>
    <t>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</si>
</sst>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16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3" fontId="0" fillId="0" borderId="0" xfId="0" applyNumberFormat="1"/>
    <xf numFmtId="165" fontId="3" fillId="0" borderId="0" xfId="0" applyNumberFormat="1" applyFont="1"/>
    <xf numFmtId="10" fontId="3" fillId="0" borderId="0" xfId="0" applyNumberFormat="1" applyFont="1"/>
    <xf numFmtId="164" fontId="0" fillId="3" borderId="1" xfId="2" applyNumberFormat="1" applyFont="1"/>
    <xf numFmtId="0" fontId="0" fillId="3" borderId="1" xfId="2" applyFont="1"/>
    <xf numFmtId="165" fontId="0" fillId="3" borderId="1" xfId="2" applyNumberFormat="1" applyFont="1"/>
    <xf numFmtId="3" fontId="0" fillId="3" borderId="1" xfId="2" applyNumberFormat="1" applyFont="1"/>
    <xf numFmtId="0" fontId="3" fillId="3" borderId="1" xfId="2" applyFont="1"/>
    <xf numFmtId="0" fontId="2" fillId="2" borderId="0" xfId="1" applyAlignment="1">
      <alignment horizontal="center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317B-0D2D-4762-936F-1B544828DAA0}">
  <dimension ref="C2:Z176"/>
  <sheetViews>
    <sheetView topLeftCell="C1" workbookViewId="0">
      <selection activeCell="F15" sqref="F15"/>
    </sheetView>
  </sheetViews>
  <sheetFormatPr defaultRowHeight="15" x14ac:dyDescent="0.25"/>
  <cols>
    <col min="3" max="3" width="16.85546875" bestFit="1" customWidth="1"/>
    <col min="5" max="5" width="11.140625" style="4" bestFit="1" customWidth="1"/>
    <col min="6" max="7" width="10.7109375" style="4" bestFit="1" customWidth="1"/>
    <col min="8" max="8" width="3.28515625" customWidth="1"/>
    <col min="9" max="11" width="11.42578125" style="4" bestFit="1" customWidth="1"/>
    <col min="12" max="12" width="3.42578125" customWidth="1"/>
    <col min="13" max="13" width="11.85546875" style="4" bestFit="1" customWidth="1"/>
    <col min="14" max="14" width="15.7109375" style="4" bestFit="1" customWidth="1"/>
    <col min="15" max="15" width="9.85546875" style="3" bestFit="1" customWidth="1"/>
    <col min="16" max="16" width="3.42578125" customWidth="1"/>
    <col min="17" max="17" width="11.140625" style="4" bestFit="1" customWidth="1"/>
    <col min="18" max="18" width="17.5703125" style="5" bestFit="1" customWidth="1"/>
    <col min="20" max="20" width="10.5703125" bestFit="1" customWidth="1"/>
    <col min="21" max="22" width="9.140625" style="4"/>
  </cols>
  <sheetData>
    <row r="2" spans="3:26" x14ac:dyDescent="0.25">
      <c r="T2" t="s">
        <v>68</v>
      </c>
      <c r="U2" s="4">
        <v>9.99</v>
      </c>
    </row>
    <row r="4" spans="3:26" x14ac:dyDescent="0.25">
      <c r="D4" t="s">
        <v>1</v>
      </c>
      <c r="E4" s="4" t="s">
        <v>6</v>
      </c>
      <c r="F4" s="4" t="s">
        <v>7</v>
      </c>
      <c r="G4" s="4" t="s">
        <v>46</v>
      </c>
      <c r="I4" s="4" t="s">
        <v>2</v>
      </c>
      <c r="J4" s="4" t="s">
        <v>3</v>
      </c>
      <c r="K4" s="4" t="s">
        <v>4</v>
      </c>
      <c r="M4" s="4" t="s">
        <v>11</v>
      </c>
      <c r="N4" s="4" t="s">
        <v>52</v>
      </c>
      <c r="O4" s="3" t="s">
        <v>12</v>
      </c>
      <c r="Q4" s="4" t="s">
        <v>48</v>
      </c>
      <c r="R4" s="5" t="s">
        <v>49</v>
      </c>
      <c r="U4" s="4" t="s">
        <v>13</v>
      </c>
      <c r="V4" s="4" t="s">
        <v>14</v>
      </c>
      <c r="Y4" s="4" t="s">
        <v>13</v>
      </c>
      <c r="Z4" s="4" t="s">
        <v>14</v>
      </c>
    </row>
    <row r="5" spans="3:26" x14ac:dyDescent="0.25">
      <c r="C5" t="s">
        <v>0</v>
      </c>
      <c r="D5">
        <v>30</v>
      </c>
      <c r="E5" s="7"/>
      <c r="F5" s="7"/>
      <c r="G5" s="7"/>
      <c r="I5" s="7">
        <f>6.3*D5</f>
        <v>189</v>
      </c>
      <c r="J5" s="7"/>
      <c r="K5" s="7"/>
      <c r="T5" t="s">
        <v>15</v>
      </c>
      <c r="U5" s="4">
        <v>4.71</v>
      </c>
      <c r="V5" s="4">
        <v>5.2</v>
      </c>
      <c r="X5" t="s">
        <v>15</v>
      </c>
      <c r="Y5" s="4">
        <v>4.71</v>
      </c>
      <c r="Z5" s="4">
        <v>5.2</v>
      </c>
    </row>
    <row r="6" spans="3:26" x14ac:dyDescent="0.25">
      <c r="C6" s="2" t="s">
        <v>45</v>
      </c>
      <c r="I6" s="4" t="s">
        <v>22</v>
      </c>
      <c r="T6" t="s">
        <v>16</v>
      </c>
      <c r="U6" s="4">
        <f>Y6-$U$2</f>
        <v>1.42</v>
      </c>
      <c r="V6" s="4">
        <f>Z6+$U$2</f>
        <v>22.6</v>
      </c>
      <c r="X6" t="s">
        <v>16</v>
      </c>
      <c r="Y6" s="4">
        <v>11.41</v>
      </c>
      <c r="Z6" s="4">
        <v>12.61</v>
      </c>
    </row>
    <row r="7" spans="3:26" x14ac:dyDescent="0.25">
      <c r="C7" s="2" t="s">
        <v>10</v>
      </c>
      <c r="E7" s="4">
        <f>IF(NOT(ISBLANK(E6)),VLOOKUP(E6,$T$5:$V$34,3,FALSE),0)</f>
        <v>0</v>
      </c>
      <c r="F7" s="4">
        <f>IF(NOT(ISBLANK(F6)),VLOOKUP(F6,$T$5:$V$34,3,FALSE),0)</f>
        <v>0</v>
      </c>
      <c r="G7" s="4">
        <f>IF(NOT(ISBLANK(G6)),VLOOKUP(G6,$T$5:$V$34,3,FALSE),0)</f>
        <v>0</v>
      </c>
      <c r="I7" s="4">
        <f>IF(NOT(ISBLANK(I6)),VLOOKUP(I6,$T$5:$V$34,2,FALSE),0)</f>
        <v>1.0099999999999998</v>
      </c>
      <c r="J7" s="4">
        <f>IF(NOT(ISBLANK(J6)),VLOOKUP(J6,$T$5:$V$34,2,FALSE),0)</f>
        <v>0</v>
      </c>
      <c r="K7" s="4">
        <f>IF(NOT(ISBLANK(K6)),VLOOKUP(K6,$T$5:$V$34,2,FALSE),0)</f>
        <v>0</v>
      </c>
      <c r="T7" t="s">
        <v>17</v>
      </c>
      <c r="U7" s="4">
        <f t="shared" ref="U7:U34" si="0">Y7-$U$2</f>
        <v>-4.54</v>
      </c>
      <c r="V7" s="4">
        <f t="shared" ref="V7:V34" si="1">Z7+$U$2</f>
        <v>16.009999999999998</v>
      </c>
      <c r="X7" t="s">
        <v>17</v>
      </c>
      <c r="Y7" s="4">
        <v>5.45</v>
      </c>
      <c r="Z7" s="4">
        <v>6.02</v>
      </c>
    </row>
    <row r="8" spans="3:26" x14ac:dyDescent="0.25">
      <c r="C8" s="2" t="s">
        <v>9</v>
      </c>
      <c r="E8" s="6">
        <f>E7*E5</f>
        <v>0</v>
      </c>
      <c r="F8" s="6">
        <f>F7*F5</f>
        <v>0</v>
      </c>
      <c r="G8" s="6">
        <f>G7*G5</f>
        <v>0</v>
      </c>
      <c r="H8" s="1"/>
      <c r="I8" s="6">
        <f>I5*I7</f>
        <v>190.88999999999996</v>
      </c>
      <c r="J8" s="6">
        <f>J5*J7</f>
        <v>0</v>
      </c>
      <c r="K8" s="6">
        <f>K5*K7</f>
        <v>0</v>
      </c>
      <c r="L8" s="1"/>
      <c r="M8" s="4">
        <f>SUM(I8:K8)-SUM(E8:G8)</f>
        <v>190.88999999999996</v>
      </c>
      <c r="N8" s="4">
        <f>M8/D5</f>
        <v>6.3629999999999987</v>
      </c>
      <c r="O8" s="3">
        <f>M8/SUM(I8:J8)</f>
        <v>1</v>
      </c>
      <c r="P8" s="1"/>
      <c r="Q8" s="4">
        <v>4157</v>
      </c>
      <c r="R8" s="5">
        <f>Q8/M8*D5</f>
        <v>653.3081879616534</v>
      </c>
      <c r="T8" t="s">
        <v>18</v>
      </c>
      <c r="U8" s="4">
        <f t="shared" si="0"/>
        <v>6.26</v>
      </c>
      <c r="V8" s="4">
        <f t="shared" si="1"/>
        <v>27.939999999999998</v>
      </c>
      <c r="X8" t="s">
        <v>18</v>
      </c>
      <c r="Y8" s="4">
        <v>16.25</v>
      </c>
      <c r="Z8" s="4">
        <v>17.95</v>
      </c>
    </row>
    <row r="9" spans="3:26" x14ac:dyDescent="0.25">
      <c r="T9" t="s">
        <v>19</v>
      </c>
      <c r="U9" s="4">
        <f t="shared" si="0"/>
        <v>1139.8</v>
      </c>
      <c r="V9" s="4">
        <f t="shared" si="1"/>
        <v>1280.81</v>
      </c>
      <c r="X9" t="s">
        <v>19</v>
      </c>
      <c r="Y9" s="4">
        <v>1149.79</v>
      </c>
      <c r="Z9" s="4">
        <v>1270.82</v>
      </c>
    </row>
    <row r="10" spans="3:26" x14ac:dyDescent="0.25">
      <c r="C10" t="s">
        <v>47</v>
      </c>
      <c r="D10">
        <v>20</v>
      </c>
      <c r="E10" s="7">
        <v>180</v>
      </c>
      <c r="F10" s="7"/>
      <c r="G10" s="7"/>
      <c r="I10" s="7">
        <v>140</v>
      </c>
      <c r="J10" s="7"/>
      <c r="K10" s="7"/>
      <c r="T10" t="s">
        <v>20</v>
      </c>
      <c r="U10" s="4">
        <f t="shared" si="0"/>
        <v>18.97</v>
      </c>
      <c r="V10" s="4">
        <f t="shared" si="1"/>
        <v>42</v>
      </c>
      <c r="X10" t="s">
        <v>20</v>
      </c>
      <c r="Y10" s="4">
        <v>28.96</v>
      </c>
      <c r="Z10" s="4">
        <v>32.01</v>
      </c>
    </row>
    <row r="11" spans="3:26" x14ac:dyDescent="0.25">
      <c r="C11" s="2" t="s">
        <v>45</v>
      </c>
      <c r="E11" s="4" t="s">
        <v>22</v>
      </c>
      <c r="I11" s="4" t="s">
        <v>30</v>
      </c>
      <c r="T11" t="s">
        <v>21</v>
      </c>
      <c r="U11" s="4">
        <f t="shared" si="0"/>
        <v>64.34</v>
      </c>
      <c r="V11" s="4">
        <f t="shared" si="1"/>
        <v>92.149999999999991</v>
      </c>
      <c r="X11" t="s">
        <v>21</v>
      </c>
      <c r="Y11" s="4">
        <v>74.33</v>
      </c>
      <c r="Z11" s="4">
        <v>82.16</v>
      </c>
    </row>
    <row r="12" spans="3:26" x14ac:dyDescent="0.25">
      <c r="C12" s="2" t="s">
        <v>10</v>
      </c>
      <c r="E12" s="4">
        <f>IF(NOT(ISBLANK(E11)),VLOOKUP(E11,$T$5:$V$34,3,FALSE),0)</f>
        <v>22.15</v>
      </c>
      <c r="F12" s="4">
        <f>IF(NOT(ISBLANK(F11)),VLOOKUP(F11,$T$5:$V$34,3,FALSE),0)</f>
        <v>0</v>
      </c>
      <c r="G12" s="4">
        <f>IF(NOT(ISBLANK(G11)),VLOOKUP(G11,$T$5:$V$34,3,FALSE),0)</f>
        <v>0</v>
      </c>
      <c r="I12" s="4">
        <f>IF(NOT(ISBLANK(I11)),VLOOKUP(I11,$T$5:$V$34,2,FALSE),0)</f>
        <v>24.64</v>
      </c>
      <c r="J12" s="4">
        <f>IF(NOT(ISBLANK(J11)),VLOOKUP(J11,$T$5:$V$34,2,FALSE),0)</f>
        <v>0</v>
      </c>
      <c r="K12" s="4">
        <f>IF(NOT(ISBLANK(K11)),VLOOKUP(K11,$T$5:$V$34,2,FALSE),0)</f>
        <v>0</v>
      </c>
      <c r="T12" t="s">
        <v>22</v>
      </c>
      <c r="U12" s="4">
        <f t="shared" si="0"/>
        <v>1.0099999999999998</v>
      </c>
      <c r="V12" s="4">
        <f t="shared" si="1"/>
        <v>22.15</v>
      </c>
      <c r="X12" t="s">
        <v>22</v>
      </c>
      <c r="Y12" s="4">
        <v>11</v>
      </c>
      <c r="Z12" s="4">
        <v>12.16</v>
      </c>
    </row>
    <row r="13" spans="3:26" x14ac:dyDescent="0.25">
      <c r="C13" s="2" t="s">
        <v>9</v>
      </c>
      <c r="E13" s="6">
        <f>E12*E10</f>
        <v>3986.9999999999995</v>
      </c>
      <c r="F13" s="6">
        <f>F12*F10</f>
        <v>0</v>
      </c>
      <c r="G13" s="6">
        <f>G12*G10</f>
        <v>0</v>
      </c>
      <c r="H13" s="1"/>
      <c r="I13" s="6">
        <f>I10*I12</f>
        <v>3449.6</v>
      </c>
      <c r="J13" s="6">
        <f>J10*J12</f>
        <v>0</v>
      </c>
      <c r="K13" s="6">
        <f>K10*K12</f>
        <v>0</v>
      </c>
      <c r="L13" s="1"/>
      <c r="M13" s="4">
        <f>SUM(I13:K13)-SUM(E13:G13)</f>
        <v>-537.39999999999964</v>
      </c>
      <c r="N13" s="4">
        <f>M13/D10</f>
        <v>-26.869999999999983</v>
      </c>
      <c r="O13" s="3">
        <f>M13/SUM(I13:J13)</f>
        <v>-0.15578617810760659</v>
      </c>
      <c r="P13" s="1"/>
      <c r="Q13" s="4">
        <v>21764</v>
      </c>
      <c r="R13" s="5">
        <f>Q13/M13*D10</f>
        <v>-809.97394864160822</v>
      </c>
      <c r="T13" t="s">
        <v>23</v>
      </c>
      <c r="U13" s="4">
        <f t="shared" si="0"/>
        <v>45.03</v>
      </c>
      <c r="V13" s="4">
        <f t="shared" si="1"/>
        <v>70.8</v>
      </c>
      <c r="X13" t="s">
        <v>23</v>
      </c>
      <c r="Y13" s="4">
        <v>55.02</v>
      </c>
      <c r="Z13" s="4">
        <v>60.81</v>
      </c>
    </row>
    <row r="14" spans="3:26" x14ac:dyDescent="0.25">
      <c r="T14" t="s">
        <v>24</v>
      </c>
      <c r="U14" s="4">
        <f t="shared" si="0"/>
        <v>2058.0500000000002</v>
      </c>
      <c r="V14" s="4">
        <f t="shared" si="1"/>
        <v>2295.7199999999998</v>
      </c>
      <c r="X14" t="s">
        <v>24</v>
      </c>
      <c r="Y14" s="4">
        <v>2068.04</v>
      </c>
      <c r="Z14" s="4">
        <v>2285.73</v>
      </c>
    </row>
    <row r="15" spans="3:26" x14ac:dyDescent="0.25">
      <c r="C15" t="s">
        <v>50</v>
      </c>
      <c r="D15">
        <v>250</v>
      </c>
      <c r="E15" s="7"/>
      <c r="F15" s="7"/>
      <c r="G15" s="7"/>
      <c r="I15" s="7">
        <f>4*D15</f>
        <v>1000</v>
      </c>
      <c r="J15" s="7"/>
      <c r="K15" s="7"/>
      <c r="T15" t="s">
        <v>25</v>
      </c>
      <c r="U15" s="4">
        <f t="shared" si="0"/>
        <v>91.100000000000009</v>
      </c>
      <c r="V15" s="4">
        <f t="shared" si="1"/>
        <v>121.72</v>
      </c>
      <c r="X15" t="s">
        <v>25</v>
      </c>
      <c r="Y15" s="4">
        <v>101.09</v>
      </c>
      <c r="Z15" s="4">
        <v>111.73</v>
      </c>
    </row>
    <row r="16" spans="3:26" x14ac:dyDescent="0.25">
      <c r="C16" s="2" t="s">
        <v>45</v>
      </c>
      <c r="I16" s="4" t="s">
        <v>28</v>
      </c>
      <c r="T16" t="s">
        <v>26</v>
      </c>
      <c r="U16" s="4">
        <f t="shared" si="0"/>
        <v>5.129999999999999</v>
      </c>
      <c r="V16" s="4">
        <f t="shared" si="1"/>
        <v>26.700000000000003</v>
      </c>
      <c r="X16" t="s">
        <v>26</v>
      </c>
      <c r="Y16" s="4">
        <v>15.12</v>
      </c>
      <c r="Z16" s="4">
        <v>16.71</v>
      </c>
    </row>
    <row r="17" spans="3:26" x14ac:dyDescent="0.25">
      <c r="C17" s="2" t="s">
        <v>10</v>
      </c>
      <c r="E17" s="4">
        <f>IF(NOT(ISBLANK(E16)),VLOOKUP(E16,$T$5:$V$34,3,FALSE),0)</f>
        <v>0</v>
      </c>
      <c r="F17" s="4">
        <f>IF(NOT(ISBLANK(F16)),VLOOKUP(F16,$T$5:$V$34,3,FALSE),0)</f>
        <v>0</v>
      </c>
      <c r="G17" s="4">
        <f>IF(NOT(ISBLANK(G16)),VLOOKUP(G16,$T$5:$V$34,3,FALSE),0)</f>
        <v>0</v>
      </c>
      <c r="I17" s="4">
        <f>IF(NOT(ISBLANK(I16)),VLOOKUP(I16,$T$5:$V$34,2,FALSE),0)</f>
        <v>9.9999999999997868E-3</v>
      </c>
      <c r="J17" s="4">
        <f>IF(NOT(ISBLANK(J16)),VLOOKUP(J16,$T$5:$V$34,2,FALSE),0)</f>
        <v>0</v>
      </c>
      <c r="K17" s="4">
        <f>IF(NOT(ISBLANK(K16)),VLOOKUP(K16,$T$5:$V$34,2,FALSE),0)</f>
        <v>0</v>
      </c>
      <c r="T17" t="s">
        <v>27</v>
      </c>
      <c r="U17" s="4">
        <f t="shared" si="0"/>
        <v>27.43</v>
      </c>
      <c r="V17" s="4">
        <f t="shared" si="1"/>
        <v>51.35</v>
      </c>
      <c r="X17" t="s">
        <v>27</v>
      </c>
      <c r="Y17" s="4">
        <v>37.42</v>
      </c>
      <c r="Z17" s="4">
        <v>41.36</v>
      </c>
    </row>
    <row r="18" spans="3:26" x14ac:dyDescent="0.25">
      <c r="C18" s="2" t="s">
        <v>9</v>
      </c>
      <c r="E18" s="6">
        <f>E17*E15</f>
        <v>0</v>
      </c>
      <c r="F18" s="6">
        <f>F17*F15</f>
        <v>0</v>
      </c>
      <c r="G18" s="6">
        <f>G17*G15</f>
        <v>0</v>
      </c>
      <c r="H18" s="1"/>
      <c r="I18" s="6">
        <f>I15*I17</f>
        <v>9.9999999999997868</v>
      </c>
      <c r="J18" s="6">
        <f>J15*J17</f>
        <v>0</v>
      </c>
      <c r="K18" s="6">
        <f>K15*K17</f>
        <v>0</v>
      </c>
      <c r="L18" s="1"/>
      <c r="M18" s="4">
        <f>SUM(I18:K18)-SUM(E18:G18)</f>
        <v>9.9999999999997868</v>
      </c>
      <c r="N18" s="4">
        <f>M18/D15</f>
        <v>3.9999999999999147E-2</v>
      </c>
      <c r="O18" s="3">
        <f>M18/SUM(I18:J18)</f>
        <v>1</v>
      </c>
      <c r="P18" s="1"/>
      <c r="Q18" s="4">
        <v>85018</v>
      </c>
      <c r="R18" s="5">
        <f>Q18/M18*D15</f>
        <v>2125450.0000000452</v>
      </c>
      <c r="T18" t="s">
        <v>28</v>
      </c>
      <c r="U18" s="4">
        <f t="shared" si="0"/>
        <v>9.9999999999997868E-3</v>
      </c>
      <c r="V18" s="4">
        <f t="shared" si="1"/>
        <v>21.05</v>
      </c>
      <c r="X18" t="s">
        <v>28</v>
      </c>
      <c r="Y18" s="4">
        <v>10</v>
      </c>
      <c r="Z18" s="4">
        <v>11.06</v>
      </c>
    </row>
    <row r="19" spans="3:26" x14ac:dyDescent="0.25">
      <c r="T19" t="s">
        <v>29</v>
      </c>
      <c r="U19" s="4">
        <f t="shared" si="0"/>
        <v>223.07999999999998</v>
      </c>
      <c r="V19" s="4">
        <f t="shared" si="1"/>
        <v>267.60000000000002</v>
      </c>
      <c r="X19" t="s">
        <v>29</v>
      </c>
      <c r="Y19" s="4">
        <v>233.07</v>
      </c>
      <c r="Z19" s="4">
        <v>257.61</v>
      </c>
    </row>
    <row r="20" spans="3:26" x14ac:dyDescent="0.25">
      <c r="C20" t="s">
        <v>51</v>
      </c>
      <c r="D20">
        <v>15</v>
      </c>
      <c r="E20" s="7">
        <v>225</v>
      </c>
      <c r="F20" s="7"/>
      <c r="G20" s="7"/>
      <c r="I20" s="7">
        <v>105</v>
      </c>
      <c r="J20" s="7"/>
      <c r="K20" s="7"/>
      <c r="T20" t="s">
        <v>30</v>
      </c>
      <c r="U20" s="4">
        <f t="shared" si="0"/>
        <v>24.64</v>
      </c>
      <c r="V20" s="4">
        <f t="shared" si="1"/>
        <v>48.27</v>
      </c>
      <c r="X20" t="s">
        <v>30</v>
      </c>
      <c r="Y20" s="4">
        <v>34.630000000000003</v>
      </c>
      <c r="Z20" s="4">
        <v>38.28</v>
      </c>
    </row>
    <row r="21" spans="3:26" x14ac:dyDescent="0.25">
      <c r="C21" s="2" t="s">
        <v>45</v>
      </c>
      <c r="E21" s="4" t="s">
        <v>28</v>
      </c>
      <c r="I21" s="4" t="s">
        <v>27</v>
      </c>
      <c r="T21" t="s">
        <v>31</v>
      </c>
      <c r="U21" s="4">
        <f t="shared" si="0"/>
        <v>160.35999999999999</v>
      </c>
      <c r="V21" s="4">
        <f t="shared" si="1"/>
        <v>198.27</v>
      </c>
      <c r="X21" t="s">
        <v>31</v>
      </c>
      <c r="Y21" s="4">
        <v>170.35</v>
      </c>
      <c r="Z21" s="4">
        <v>188.28</v>
      </c>
    </row>
    <row r="22" spans="3:26" x14ac:dyDescent="0.25">
      <c r="C22" s="2" t="s">
        <v>10</v>
      </c>
      <c r="E22" s="4">
        <f>IF(NOT(ISBLANK(E21)),VLOOKUP(E21,$T$5:$V$34,3,FALSE),0)</f>
        <v>21.05</v>
      </c>
      <c r="F22" s="4">
        <f>IF(NOT(ISBLANK(F21)),VLOOKUP(F21,$T$5:$V$34,3,FALSE),0)</f>
        <v>0</v>
      </c>
      <c r="G22" s="4">
        <f>IF(NOT(ISBLANK(G21)),VLOOKUP(G21,$T$5:$V$34,3,FALSE),0)</f>
        <v>0</v>
      </c>
      <c r="I22" s="4">
        <f>IF(NOT(ISBLANK(I21)),VLOOKUP(I21,$T$5:$V$34,2,FALSE),0)</f>
        <v>27.43</v>
      </c>
      <c r="J22" s="4">
        <f>IF(NOT(ISBLANK(J21)),VLOOKUP(J21,$T$5:$V$34,2,FALSE),0)</f>
        <v>0</v>
      </c>
      <c r="K22" s="4">
        <f>IF(NOT(ISBLANK(K21)),VLOOKUP(K21,$T$5:$V$34,2,FALSE),0)</f>
        <v>0</v>
      </c>
      <c r="T22" t="s">
        <v>32</v>
      </c>
      <c r="U22" s="4">
        <f t="shared" si="0"/>
        <v>331.3</v>
      </c>
      <c r="V22" s="4">
        <f t="shared" si="1"/>
        <v>387.21000000000004</v>
      </c>
      <c r="X22" t="s">
        <v>32</v>
      </c>
      <c r="Y22" s="4">
        <v>341.29</v>
      </c>
      <c r="Z22" s="4">
        <v>377.22</v>
      </c>
    </row>
    <row r="23" spans="3:26" x14ac:dyDescent="0.25">
      <c r="C23" s="2" t="s">
        <v>9</v>
      </c>
      <c r="E23" s="6">
        <f>E22*E20</f>
        <v>4736.25</v>
      </c>
      <c r="F23" s="6">
        <f>F22*F20</f>
        <v>0</v>
      </c>
      <c r="G23" s="6">
        <f>G22*G20</f>
        <v>0</v>
      </c>
      <c r="H23" s="1"/>
      <c r="I23" s="6">
        <f>I20*I22</f>
        <v>2880.15</v>
      </c>
      <c r="J23" s="6">
        <f>J20*J22</f>
        <v>0</v>
      </c>
      <c r="K23" s="6">
        <f>K20*K22</f>
        <v>0</v>
      </c>
      <c r="L23" s="1"/>
      <c r="M23" s="4">
        <f>SUM(I23:K23)-SUM(E23:G23)</f>
        <v>-1856.1</v>
      </c>
      <c r="N23" s="4">
        <f>M23/D20</f>
        <v>-123.74</v>
      </c>
      <c r="O23" s="3">
        <f>M23/SUM(I23:J23)</f>
        <v>-0.64444560179157329</v>
      </c>
      <c r="P23" s="1"/>
      <c r="Q23" s="4">
        <v>146810</v>
      </c>
      <c r="R23" s="5">
        <f>Q23/M23*D20</f>
        <v>-1186.4393082269276</v>
      </c>
      <c r="T23" t="s">
        <v>33</v>
      </c>
      <c r="U23" s="4">
        <f t="shared" si="0"/>
        <v>230.89999999999998</v>
      </c>
      <c r="V23" s="4">
        <f t="shared" si="1"/>
        <v>276.24</v>
      </c>
      <c r="X23" t="s">
        <v>33</v>
      </c>
      <c r="Y23" s="4">
        <v>240.89</v>
      </c>
      <c r="Z23" s="4">
        <v>266.25</v>
      </c>
    </row>
    <row r="24" spans="3:26" x14ac:dyDescent="0.25">
      <c r="T24" t="s">
        <v>34</v>
      </c>
      <c r="U24" s="4">
        <f t="shared" si="0"/>
        <v>64.27000000000001</v>
      </c>
      <c r="V24" s="4">
        <f t="shared" si="1"/>
        <v>92.07</v>
      </c>
      <c r="X24" t="s">
        <v>34</v>
      </c>
      <c r="Y24" s="4">
        <v>74.260000000000005</v>
      </c>
      <c r="Z24" s="4">
        <v>82.08</v>
      </c>
    </row>
    <row r="25" spans="3:26" x14ac:dyDescent="0.25">
      <c r="C25" t="s">
        <v>53</v>
      </c>
      <c r="D25">
        <v>500</v>
      </c>
      <c r="E25" s="7">
        <v>375</v>
      </c>
      <c r="F25" s="7">
        <v>200</v>
      </c>
      <c r="G25" s="7">
        <v>11</v>
      </c>
      <c r="I25" s="7">
        <v>40</v>
      </c>
      <c r="J25" s="7"/>
      <c r="K25" s="7"/>
      <c r="T25" t="s">
        <v>35</v>
      </c>
      <c r="U25" s="4">
        <f t="shared" si="0"/>
        <v>108.24000000000001</v>
      </c>
      <c r="V25" s="4">
        <f t="shared" si="1"/>
        <v>140.67000000000002</v>
      </c>
      <c r="X25" t="s">
        <v>35</v>
      </c>
      <c r="Y25" s="4">
        <v>118.23</v>
      </c>
      <c r="Z25" s="4">
        <v>130.68</v>
      </c>
    </row>
    <row r="26" spans="3:26" x14ac:dyDescent="0.25">
      <c r="C26" s="2" t="s">
        <v>45</v>
      </c>
      <c r="E26" s="4" t="s">
        <v>25</v>
      </c>
      <c r="F26" s="4" t="s">
        <v>27</v>
      </c>
      <c r="G26" s="4" t="s">
        <v>15</v>
      </c>
      <c r="I26" s="4" t="s">
        <v>19</v>
      </c>
      <c r="T26" t="s">
        <v>36</v>
      </c>
      <c r="U26" s="4">
        <f t="shared" si="0"/>
        <v>1446.58</v>
      </c>
      <c r="V26" s="4">
        <f t="shared" si="1"/>
        <v>1619.88</v>
      </c>
      <c r="X26" t="s">
        <v>36</v>
      </c>
      <c r="Y26" s="4">
        <v>1456.57</v>
      </c>
      <c r="Z26" s="4">
        <v>1609.89</v>
      </c>
    </row>
    <row r="27" spans="3:26" x14ac:dyDescent="0.25">
      <c r="C27" s="2" t="s">
        <v>10</v>
      </c>
      <c r="E27" s="4">
        <f>IF(NOT(ISBLANK(E26)),VLOOKUP(E26,$T$5:$V$34,3,FALSE),0)</f>
        <v>121.72</v>
      </c>
      <c r="F27" s="4">
        <f>IF(NOT(ISBLANK(F26)),VLOOKUP(F26,$T$5:$V$34,3,FALSE),0)</f>
        <v>51.35</v>
      </c>
      <c r="G27" s="4">
        <f>IF(NOT(ISBLANK(G26)),VLOOKUP(G26,$T$5:$V$34,3,FALSE),0)</f>
        <v>5.2</v>
      </c>
      <c r="I27" s="4">
        <f>IF(NOT(ISBLANK(I26)),VLOOKUP(I26,$T$5:$V$34,2,FALSE),0)</f>
        <v>1139.8</v>
      </c>
      <c r="J27" s="4">
        <f>IF(NOT(ISBLANK(J26)),VLOOKUP(J26,$T$5:$V$34,2,FALSE),0)</f>
        <v>0</v>
      </c>
      <c r="K27" s="4">
        <f>IF(NOT(ISBLANK(K26)),VLOOKUP(K26,$T$5:$V$34,2,FALSE),0)</f>
        <v>0</v>
      </c>
      <c r="T27" t="s">
        <v>37</v>
      </c>
      <c r="U27" s="4">
        <f t="shared" si="0"/>
        <v>2342.7400000000002</v>
      </c>
      <c r="V27" s="4">
        <f t="shared" si="1"/>
        <v>2610.37</v>
      </c>
      <c r="X27" t="s">
        <v>37</v>
      </c>
      <c r="Y27" s="4">
        <v>2352.73</v>
      </c>
      <c r="Z27" s="4">
        <v>2600.38</v>
      </c>
    </row>
    <row r="28" spans="3:26" x14ac:dyDescent="0.25">
      <c r="C28" s="2" t="s">
        <v>9</v>
      </c>
      <c r="E28" s="6">
        <f>E27*E25</f>
        <v>45645</v>
      </c>
      <c r="F28" s="6">
        <f>F27*F25</f>
        <v>10270</v>
      </c>
      <c r="G28" s="6">
        <f>G27*G25</f>
        <v>57.2</v>
      </c>
      <c r="H28" s="1"/>
      <c r="I28" s="6">
        <f>I25*I27</f>
        <v>45592</v>
      </c>
      <c r="J28" s="6">
        <f>J25*J27</f>
        <v>0</v>
      </c>
      <c r="K28" s="6">
        <f>K25*K27</f>
        <v>0</v>
      </c>
      <c r="L28" s="1"/>
      <c r="M28" s="4">
        <f>SUM(I28:K28)-SUM(E28:G28)</f>
        <v>-10380.199999999997</v>
      </c>
      <c r="N28" s="4">
        <f>M28/D25</f>
        <v>-20.760399999999994</v>
      </c>
      <c r="O28" s="3">
        <f>M28/SUM(I28:J28)</f>
        <v>-0.2276759080540445</v>
      </c>
      <c r="P28" s="1"/>
      <c r="Q28" s="4">
        <v>257030</v>
      </c>
      <c r="R28" s="5">
        <f>Q28/M28*D25</f>
        <v>-12380.782643879698</v>
      </c>
      <c r="T28" t="s">
        <v>38</v>
      </c>
      <c r="U28" s="4">
        <f t="shared" si="0"/>
        <v>1612.41</v>
      </c>
      <c r="V28" s="4">
        <f t="shared" si="1"/>
        <v>1803.16</v>
      </c>
      <c r="X28" t="s">
        <v>38</v>
      </c>
      <c r="Y28" s="4">
        <v>1622.4</v>
      </c>
      <c r="Z28" s="4">
        <v>1793.17</v>
      </c>
    </row>
    <row r="29" spans="3:26" x14ac:dyDescent="0.25">
      <c r="T29" t="s">
        <v>39</v>
      </c>
      <c r="U29" s="4">
        <f t="shared" si="0"/>
        <v>29.15</v>
      </c>
      <c r="V29" s="4">
        <f t="shared" si="1"/>
        <v>53.25</v>
      </c>
      <c r="X29" t="s">
        <v>39</v>
      </c>
      <c r="Y29" s="4">
        <v>39.14</v>
      </c>
      <c r="Z29" s="4">
        <v>43.26</v>
      </c>
    </row>
    <row r="30" spans="3:26" x14ac:dyDescent="0.25">
      <c r="C30" t="s">
        <v>54</v>
      </c>
      <c r="D30">
        <v>220</v>
      </c>
      <c r="E30" s="7">
        <v>0</v>
      </c>
      <c r="F30" s="7"/>
      <c r="G30" s="7"/>
      <c r="I30" s="7">
        <f>4.2*D30</f>
        <v>924</v>
      </c>
      <c r="J30" s="7"/>
      <c r="K30" s="7"/>
      <c r="T30" t="s">
        <v>40</v>
      </c>
      <c r="U30" s="4">
        <f t="shared" si="0"/>
        <v>6.42</v>
      </c>
      <c r="V30" s="4">
        <f t="shared" si="1"/>
        <v>28.130000000000003</v>
      </c>
      <c r="X30" t="s">
        <v>40</v>
      </c>
      <c r="Y30" s="4">
        <v>16.41</v>
      </c>
      <c r="Z30" s="4">
        <v>18.14</v>
      </c>
    </row>
    <row r="31" spans="3:26" x14ac:dyDescent="0.25">
      <c r="C31" s="2" t="s">
        <v>45</v>
      </c>
      <c r="I31" s="4" t="s">
        <v>56</v>
      </c>
      <c r="T31" t="s">
        <v>41</v>
      </c>
      <c r="U31" s="4">
        <f t="shared" si="0"/>
        <v>1677.18</v>
      </c>
      <c r="V31" s="4">
        <f t="shared" si="1"/>
        <v>1874.76</v>
      </c>
      <c r="X31" t="s">
        <v>41</v>
      </c>
      <c r="Y31" s="4">
        <v>1687.17</v>
      </c>
      <c r="Z31" s="4">
        <v>1864.77</v>
      </c>
    </row>
    <row r="32" spans="3:26" x14ac:dyDescent="0.25">
      <c r="C32" s="2" t="s">
        <v>10</v>
      </c>
      <c r="E32" s="4">
        <f>IF(NOT(ISBLANK(E31)),VLOOKUP(E31,$T$5:$V$34,3,FALSE),0)</f>
        <v>0</v>
      </c>
      <c r="F32" s="4">
        <f>IF(NOT(ISBLANK(F31)),VLOOKUP(F31,$T$5:$V$34,3,FALSE),0)</f>
        <v>0</v>
      </c>
      <c r="G32" s="4">
        <f>IF(NOT(ISBLANK(G31)),VLOOKUP(G31,$T$5:$V$34,3,FALSE),0)</f>
        <v>0</v>
      </c>
      <c r="I32" s="4">
        <f>IF(NOT(ISBLANK(I31)),VLOOKUP(I31,$T$5:$V$34,2,FALSE),0)</f>
        <v>5.129999999999999</v>
      </c>
      <c r="J32" s="4">
        <f>IF(NOT(ISBLANK(J31)),VLOOKUP(J31,$T$5:$V$34,2,FALSE),0)</f>
        <v>0</v>
      </c>
      <c r="K32" s="4">
        <f>IF(NOT(ISBLANK(K31)),VLOOKUP(K31,$T$5:$V$34,2,FALSE),0)</f>
        <v>0</v>
      </c>
      <c r="T32" t="s">
        <v>42</v>
      </c>
      <c r="U32" s="4">
        <f t="shared" si="0"/>
        <v>1792.32</v>
      </c>
      <c r="V32" s="4">
        <f t="shared" si="1"/>
        <v>2002.01</v>
      </c>
      <c r="X32" t="s">
        <v>42</v>
      </c>
      <c r="Y32" s="4">
        <v>1802.31</v>
      </c>
      <c r="Z32" s="4">
        <v>1992.02</v>
      </c>
    </row>
    <row r="33" spans="3:26" x14ac:dyDescent="0.25">
      <c r="C33" s="2" t="s">
        <v>9</v>
      </c>
      <c r="E33" s="6">
        <f>E32*E30</f>
        <v>0</v>
      </c>
      <c r="F33" s="6">
        <f>F32*F30</f>
        <v>0</v>
      </c>
      <c r="G33" s="6">
        <f>G32*G30</f>
        <v>0</v>
      </c>
      <c r="H33" s="1"/>
      <c r="I33" s="6">
        <f>I30*I32</f>
        <v>4740.119999999999</v>
      </c>
      <c r="J33" s="6">
        <f>J30*J32</f>
        <v>0</v>
      </c>
      <c r="K33" s="6">
        <f>K30*K32</f>
        <v>0</v>
      </c>
      <c r="L33" s="1"/>
      <c r="M33" s="4">
        <f>SUM(I33:K33)-SUM(E33:G33)</f>
        <v>4740.119999999999</v>
      </c>
      <c r="N33" s="4">
        <f>M33/D30</f>
        <v>21.545999999999996</v>
      </c>
      <c r="O33" s="3">
        <f>M33/SUM(I33:J33)</f>
        <v>1</v>
      </c>
      <c r="P33" s="1"/>
      <c r="Q33" s="4">
        <v>84568</v>
      </c>
      <c r="R33" s="5">
        <f>Q33/M33*D30</f>
        <v>3924.9976793836454</v>
      </c>
      <c r="T33" t="s">
        <v>43</v>
      </c>
      <c r="U33" s="4">
        <f t="shared" si="0"/>
        <v>879.17</v>
      </c>
      <c r="V33" s="4">
        <f t="shared" si="1"/>
        <v>992.75</v>
      </c>
      <c r="X33" t="s">
        <v>43</v>
      </c>
      <c r="Y33" s="4">
        <v>889.16</v>
      </c>
      <c r="Z33" s="4">
        <v>982.76</v>
      </c>
    </row>
    <row r="34" spans="3:26" x14ac:dyDescent="0.25">
      <c r="T34" t="s">
        <v>44</v>
      </c>
      <c r="U34" s="4">
        <f t="shared" si="0"/>
        <v>1866.41</v>
      </c>
      <c r="V34" s="4">
        <f t="shared" si="1"/>
        <v>2083.91</v>
      </c>
      <c r="X34" t="s">
        <v>44</v>
      </c>
      <c r="Y34" s="4">
        <v>1876.4</v>
      </c>
      <c r="Z34" s="4">
        <v>2073.92</v>
      </c>
    </row>
    <row r="35" spans="3:26" x14ac:dyDescent="0.25">
      <c r="C35" t="s">
        <v>55</v>
      </c>
      <c r="D35">
        <v>15</v>
      </c>
      <c r="E35" s="7">
        <v>210</v>
      </c>
      <c r="F35" s="7"/>
      <c r="G35" s="7"/>
      <c r="I35" s="7">
        <v>120</v>
      </c>
      <c r="J35" s="7"/>
      <c r="K35" s="7"/>
    </row>
    <row r="36" spans="3:26" x14ac:dyDescent="0.25">
      <c r="C36" s="2" t="s">
        <v>45</v>
      </c>
      <c r="E36" s="4" t="s">
        <v>56</v>
      </c>
      <c r="I36" s="4" t="s">
        <v>25</v>
      </c>
    </row>
    <row r="37" spans="3:26" x14ac:dyDescent="0.25">
      <c r="C37" s="2" t="s">
        <v>10</v>
      </c>
      <c r="E37" s="4">
        <f>IF(NOT(ISBLANK(E36)),VLOOKUP(E36,$T$5:$V$34,3,FALSE),0)</f>
        <v>26.700000000000003</v>
      </c>
      <c r="F37" s="4">
        <f>IF(NOT(ISBLANK(F36)),VLOOKUP(F36,$T$5:$V$34,3,FALSE),0)</f>
        <v>0</v>
      </c>
      <c r="G37" s="4">
        <f>IF(NOT(ISBLANK(G36)),VLOOKUP(G36,$T$5:$V$34,3,FALSE),0)</f>
        <v>0</v>
      </c>
      <c r="I37" s="4">
        <f>IF(NOT(ISBLANK(I36)),VLOOKUP(I36,$T$5:$V$34,2,FALSE),0)</f>
        <v>91.100000000000009</v>
      </c>
      <c r="J37" s="4">
        <f>IF(NOT(ISBLANK(J36)),VLOOKUP(J36,$T$5:$V$34,2,FALSE),0)</f>
        <v>0</v>
      </c>
      <c r="K37" s="4">
        <f>IF(NOT(ISBLANK(K36)),VLOOKUP(K36,$T$5:$V$34,2,FALSE),0)</f>
        <v>0</v>
      </c>
      <c r="W37" s="5"/>
    </row>
    <row r="38" spans="3:26" x14ac:dyDescent="0.25">
      <c r="C38" s="2" t="s">
        <v>9</v>
      </c>
      <c r="E38" s="6">
        <f>E37*E35</f>
        <v>5607.0000000000009</v>
      </c>
      <c r="F38" s="6">
        <f>F37*F35</f>
        <v>0</v>
      </c>
      <c r="G38" s="6">
        <f>G37*G35</f>
        <v>0</v>
      </c>
      <c r="H38" s="1"/>
      <c r="I38" s="6">
        <f>I35*I37</f>
        <v>10932.000000000002</v>
      </c>
      <c r="J38" s="6">
        <f>J35*J37</f>
        <v>0</v>
      </c>
      <c r="K38" s="6">
        <f>K35*K37</f>
        <v>0</v>
      </c>
      <c r="L38" s="1"/>
      <c r="M38" s="4">
        <f>SUM(I38:K38)-SUM(E38:G38)</f>
        <v>5325.0000000000009</v>
      </c>
      <c r="N38" s="4">
        <f>M38/D35</f>
        <v>355.00000000000006</v>
      </c>
      <c r="O38" s="3">
        <f>M38/SUM(I38:J38)</f>
        <v>0.48710208562019758</v>
      </c>
      <c r="P38" s="1"/>
      <c r="Q38" s="4">
        <v>146810</v>
      </c>
      <c r="R38" s="5">
        <f>Q38/M38*D35</f>
        <v>413.54929577464782</v>
      </c>
      <c r="W38" s="5"/>
    </row>
    <row r="40" spans="3:26" x14ac:dyDescent="0.25">
      <c r="C40" t="s">
        <v>57</v>
      </c>
      <c r="D40">
        <v>75</v>
      </c>
      <c r="E40" s="7">
        <v>33</v>
      </c>
      <c r="F40" s="7"/>
      <c r="G40" s="7"/>
      <c r="I40" s="7">
        <v>51</v>
      </c>
      <c r="J40" s="7"/>
      <c r="K40" s="7"/>
    </row>
    <row r="41" spans="3:26" x14ac:dyDescent="0.25">
      <c r="C41" s="2" t="s">
        <v>45</v>
      </c>
      <c r="E41" s="4" t="s">
        <v>25</v>
      </c>
      <c r="I41" s="4" t="s">
        <v>21</v>
      </c>
    </row>
    <row r="42" spans="3:26" x14ac:dyDescent="0.25">
      <c r="C42" s="2" t="s">
        <v>10</v>
      </c>
      <c r="E42" s="4">
        <f>IF(NOT(ISBLANK(E41)),VLOOKUP(E41,$T$5:$V$34,3,FALSE),0)</f>
        <v>121.72</v>
      </c>
      <c r="F42" s="4">
        <f>IF(NOT(ISBLANK(F41)),VLOOKUP(F41,$T$5:$V$34,3,FALSE),0)</f>
        <v>0</v>
      </c>
      <c r="G42" s="4">
        <f>IF(NOT(ISBLANK(G41)),VLOOKUP(G41,$T$5:$V$34,3,FALSE),0)</f>
        <v>0</v>
      </c>
      <c r="I42" s="4">
        <f>IF(NOT(ISBLANK(I41)),VLOOKUP(I41,$T$5:$V$34,2,FALSE),0)</f>
        <v>64.34</v>
      </c>
      <c r="J42" s="4">
        <f>IF(NOT(ISBLANK(J41)),VLOOKUP(J41,$T$5:$V$34,2,FALSE),0)</f>
        <v>0</v>
      </c>
      <c r="K42" s="4">
        <f>IF(NOT(ISBLANK(K41)),VLOOKUP(K41,$T$5:$V$34,2,FALSE),0)</f>
        <v>0</v>
      </c>
    </row>
    <row r="43" spans="3:26" x14ac:dyDescent="0.25">
      <c r="C43" s="2" t="s">
        <v>9</v>
      </c>
      <c r="E43" s="6">
        <f>E42*E40</f>
        <v>4016.7599999999998</v>
      </c>
      <c r="F43" s="6">
        <f>F42*F40</f>
        <v>0</v>
      </c>
      <c r="G43" s="6">
        <f>G42*G40</f>
        <v>0</v>
      </c>
      <c r="H43" s="1"/>
      <c r="I43" s="6">
        <f>I40*I42</f>
        <v>3281.34</v>
      </c>
      <c r="J43" s="6">
        <f>J40*J42</f>
        <v>0</v>
      </c>
      <c r="K43" s="6">
        <f>K40*K42</f>
        <v>0</v>
      </c>
      <c r="L43" s="1"/>
      <c r="M43" s="4">
        <f>SUM(I43:K43)-SUM(E43:G43)</f>
        <v>-735.41999999999962</v>
      </c>
      <c r="N43" s="4">
        <f>M43/D40</f>
        <v>-9.8055999999999948</v>
      </c>
      <c r="O43" s="3">
        <f>M43/SUM(I43:J43)</f>
        <v>-0.22412185265775555</v>
      </c>
      <c r="P43" s="1"/>
      <c r="Q43" s="4">
        <v>56668</v>
      </c>
      <c r="R43" s="5">
        <f>Q43/M43*D40</f>
        <v>-5779.1466101003543</v>
      </c>
    </row>
    <row r="45" spans="3:26" x14ac:dyDescent="0.25">
      <c r="C45" t="s">
        <v>58</v>
      </c>
      <c r="D45">
        <v>20</v>
      </c>
      <c r="E45" s="7">
        <v>24</v>
      </c>
      <c r="F45" s="7"/>
      <c r="G45" s="7"/>
      <c r="I45" s="7">
        <v>1400</v>
      </c>
      <c r="J45" s="7"/>
      <c r="K45" s="7"/>
    </row>
    <row r="46" spans="3:26" x14ac:dyDescent="0.25">
      <c r="C46" s="2" t="s">
        <v>45</v>
      </c>
      <c r="E46" s="4" t="s">
        <v>25</v>
      </c>
      <c r="I46" s="4" t="s">
        <v>15</v>
      </c>
    </row>
    <row r="47" spans="3:26" x14ac:dyDescent="0.25">
      <c r="C47" s="2" t="s">
        <v>10</v>
      </c>
      <c r="E47" s="4">
        <f>IF(NOT(ISBLANK(E46)),VLOOKUP(E46,$T$5:$V$34,3,FALSE),0)</f>
        <v>121.72</v>
      </c>
      <c r="F47" s="4">
        <f>IF(NOT(ISBLANK(F46)),VLOOKUP(F46,$T$5:$V$34,3,FALSE),0)</f>
        <v>0</v>
      </c>
      <c r="G47" s="4">
        <f>IF(NOT(ISBLANK(G46)),VLOOKUP(G46,$T$5:$V$34,3,FALSE),0)</f>
        <v>0</v>
      </c>
      <c r="I47" s="4">
        <f>IF(NOT(ISBLANK(I46)),VLOOKUP(I46,$T$5:$V$34,2,FALSE),0)</f>
        <v>4.71</v>
      </c>
      <c r="J47" s="4">
        <f>IF(NOT(ISBLANK(J46)),VLOOKUP(J46,$T$5:$V$34,2,FALSE),0)</f>
        <v>0</v>
      </c>
      <c r="K47" s="4">
        <f>IF(NOT(ISBLANK(K46)),VLOOKUP(K46,$T$5:$V$34,2,FALSE),0)</f>
        <v>0</v>
      </c>
    </row>
    <row r="48" spans="3:26" x14ac:dyDescent="0.25">
      <c r="C48" s="2" t="s">
        <v>9</v>
      </c>
      <c r="E48" s="6">
        <f>E47*E45</f>
        <v>2921.2799999999997</v>
      </c>
      <c r="F48" s="6">
        <f>F47*F45</f>
        <v>0</v>
      </c>
      <c r="G48" s="6">
        <f>G47*G45</f>
        <v>0</v>
      </c>
      <c r="H48" s="1"/>
      <c r="I48" s="6">
        <f>I45*I47</f>
        <v>6594</v>
      </c>
      <c r="J48" s="6">
        <f>J45*J47</f>
        <v>0</v>
      </c>
      <c r="K48" s="6">
        <f>K45*K47</f>
        <v>0</v>
      </c>
      <c r="L48" s="1"/>
      <c r="M48" s="4">
        <f>SUM(I48:K48)-SUM(E48:G48)</f>
        <v>3672.7200000000003</v>
      </c>
      <c r="N48" s="4">
        <f>M48/D45</f>
        <v>183.63600000000002</v>
      </c>
      <c r="O48" s="3">
        <f>M48/SUM(I48:J48)</f>
        <v>0.55697907188353057</v>
      </c>
      <c r="P48" s="1"/>
      <c r="Q48" s="4">
        <v>252962</v>
      </c>
      <c r="R48" s="5">
        <f>Q48/M48*D45</f>
        <v>1377.5185693437015</v>
      </c>
    </row>
    <row r="50" spans="3:18" x14ac:dyDescent="0.25">
      <c r="C50" t="s">
        <v>59</v>
      </c>
      <c r="D50">
        <v>40</v>
      </c>
      <c r="E50" s="7">
        <v>0</v>
      </c>
      <c r="F50" s="7"/>
      <c r="G50" s="7"/>
      <c r="I50" s="7">
        <f>3.5*40</f>
        <v>140</v>
      </c>
      <c r="J50" s="7"/>
      <c r="K50" s="7"/>
    </row>
    <row r="51" spans="3:18" x14ac:dyDescent="0.25">
      <c r="C51" s="2" t="s">
        <v>45</v>
      </c>
      <c r="I51" s="4" t="s">
        <v>17</v>
      </c>
    </row>
    <row r="52" spans="3:18" x14ac:dyDescent="0.25">
      <c r="C52" s="2" t="s">
        <v>10</v>
      </c>
      <c r="E52" s="4">
        <f>IF(NOT(ISBLANK(E51)),VLOOKUP(E51,$T$5:$V$34,3,FALSE),0)</f>
        <v>0</v>
      </c>
      <c r="F52" s="4">
        <f>IF(NOT(ISBLANK(F51)),VLOOKUP(F51,$T$5:$V$34,3,FALSE),0)</f>
        <v>0</v>
      </c>
      <c r="G52" s="4">
        <f>IF(NOT(ISBLANK(G51)),VLOOKUP(G51,$T$5:$V$34,3,FALSE),0)</f>
        <v>0</v>
      </c>
      <c r="I52" s="4">
        <f>IF(NOT(ISBLANK(I51)),VLOOKUP(I51,$T$5:$V$34,2,FALSE),0)</f>
        <v>-4.54</v>
      </c>
      <c r="J52" s="4">
        <f>IF(NOT(ISBLANK(J51)),VLOOKUP(J51,$T$5:$V$34,2,FALSE),0)</f>
        <v>0</v>
      </c>
      <c r="K52" s="4">
        <f>IF(NOT(ISBLANK(K51)),VLOOKUP(K51,$T$5:$V$34,2,FALSE),0)</f>
        <v>0</v>
      </c>
    </row>
    <row r="53" spans="3:18" x14ac:dyDescent="0.25">
      <c r="C53" s="2" t="s">
        <v>9</v>
      </c>
      <c r="E53" s="6">
        <f>E52*E50</f>
        <v>0</v>
      </c>
      <c r="F53" s="6">
        <f>F52*F50</f>
        <v>0</v>
      </c>
      <c r="G53" s="6">
        <f>G52*G50</f>
        <v>0</v>
      </c>
      <c r="H53" s="1"/>
      <c r="I53" s="6">
        <f>I50*I52</f>
        <v>-635.6</v>
      </c>
      <c r="J53" s="6">
        <f>J50*J52</f>
        <v>0</v>
      </c>
      <c r="K53" s="6">
        <f>K50*K52</f>
        <v>0</v>
      </c>
      <c r="L53" s="1"/>
      <c r="M53" s="4">
        <f>SUM(I53:K53)-SUM(E53:G53)</f>
        <v>-635.6</v>
      </c>
      <c r="N53" s="4">
        <f>M53/D50</f>
        <v>-15.89</v>
      </c>
      <c r="O53" s="3">
        <f>M53/SUM(I53:J53)</f>
        <v>1</v>
      </c>
      <c r="P53" s="1"/>
      <c r="Q53" s="4">
        <v>1641</v>
      </c>
      <c r="R53" s="5">
        <f>Q53/M53*D50</f>
        <v>-103.27249842668344</v>
      </c>
    </row>
    <row r="55" spans="3:18" x14ac:dyDescent="0.25">
      <c r="C55" t="s">
        <v>60</v>
      </c>
      <c r="D55">
        <v>15</v>
      </c>
      <c r="E55" s="7">
        <v>120</v>
      </c>
      <c r="F55" s="7">
        <v>24</v>
      </c>
      <c r="G55" s="7"/>
      <c r="I55" s="7">
        <v>82</v>
      </c>
      <c r="J55" s="7"/>
      <c r="K55" s="7"/>
    </row>
    <row r="56" spans="3:18" x14ac:dyDescent="0.25">
      <c r="C56" s="2" t="s">
        <v>45</v>
      </c>
      <c r="E56" s="4" t="s">
        <v>17</v>
      </c>
      <c r="F56" s="4" t="s">
        <v>15</v>
      </c>
      <c r="I56" s="4" t="s">
        <v>16</v>
      </c>
    </row>
    <row r="57" spans="3:18" x14ac:dyDescent="0.25">
      <c r="C57" s="2" t="s">
        <v>10</v>
      </c>
      <c r="E57" s="4">
        <f>IF(NOT(ISBLANK(E56)),VLOOKUP(E56,$T$5:$V$34,3,FALSE),0)</f>
        <v>16.009999999999998</v>
      </c>
      <c r="F57" s="4">
        <f>IF(NOT(ISBLANK(F56)),VLOOKUP(F56,$T$5:$V$34,3,FALSE),0)</f>
        <v>5.2</v>
      </c>
      <c r="G57" s="4">
        <f>IF(NOT(ISBLANK(G56)),VLOOKUP(G56,$T$5:$V$34,3,FALSE),0)</f>
        <v>0</v>
      </c>
      <c r="I57" s="4">
        <f>IF(NOT(ISBLANK(I56)),VLOOKUP(I56,$T$5:$V$34,2,FALSE),0)</f>
        <v>1.42</v>
      </c>
      <c r="J57" s="4">
        <f>IF(NOT(ISBLANK(J56)),VLOOKUP(J56,$T$5:$V$34,2,FALSE),0)</f>
        <v>0</v>
      </c>
      <c r="K57" s="4">
        <f>IF(NOT(ISBLANK(K56)),VLOOKUP(K56,$T$5:$V$34,2,FALSE),0)</f>
        <v>0</v>
      </c>
    </row>
    <row r="58" spans="3:18" x14ac:dyDescent="0.25">
      <c r="C58" s="2" t="s">
        <v>9</v>
      </c>
      <c r="E58" s="6">
        <f>E57*E55</f>
        <v>1921.1999999999998</v>
      </c>
      <c r="F58" s="6">
        <f>F57*F55</f>
        <v>124.80000000000001</v>
      </c>
      <c r="G58" s="6">
        <f>G57*G55</f>
        <v>0</v>
      </c>
      <c r="H58" s="1"/>
      <c r="I58" s="6">
        <f>I55*I57</f>
        <v>116.44</v>
      </c>
      <c r="J58" s="6">
        <f>J55*J57</f>
        <v>0</v>
      </c>
      <c r="K58" s="6">
        <f>K55*K57</f>
        <v>0</v>
      </c>
      <c r="L58" s="1"/>
      <c r="M58" s="4">
        <f>SUM(I58:K58)-SUM(E58:G58)</f>
        <v>-1929.5599999999997</v>
      </c>
      <c r="N58" s="4">
        <f>M58/D55</f>
        <v>-128.63733333333332</v>
      </c>
      <c r="O58" s="3">
        <f>M58/SUM(I58:J58)</f>
        <v>-16.571281346616281</v>
      </c>
      <c r="P58" s="1"/>
      <c r="Q58" s="4">
        <v>36782</v>
      </c>
      <c r="R58" s="5">
        <f>Q58/M58*D55</f>
        <v>-285.93565372416509</v>
      </c>
    </row>
    <row r="60" spans="3:18" x14ac:dyDescent="0.25">
      <c r="C60" t="s">
        <v>61</v>
      </c>
      <c r="D60">
        <v>30</v>
      </c>
      <c r="E60" s="7">
        <v>22</v>
      </c>
      <c r="F60" s="7">
        <v>210</v>
      </c>
      <c r="G60" s="7">
        <v>6</v>
      </c>
      <c r="I60" s="7">
        <v>81</v>
      </c>
      <c r="J60" s="7"/>
      <c r="K60" s="7"/>
    </row>
    <row r="61" spans="3:18" x14ac:dyDescent="0.25">
      <c r="C61" s="2" t="s">
        <v>45</v>
      </c>
      <c r="E61" s="4" t="s">
        <v>25</v>
      </c>
      <c r="F61" s="4" t="s">
        <v>16</v>
      </c>
      <c r="G61" s="4" t="s">
        <v>15</v>
      </c>
      <c r="I61" s="4" t="s">
        <v>34</v>
      </c>
    </row>
    <row r="62" spans="3:18" x14ac:dyDescent="0.25">
      <c r="C62" s="2" t="s">
        <v>10</v>
      </c>
      <c r="E62" s="4">
        <f>IF(NOT(ISBLANK(E61)),VLOOKUP(E61,$T$5:$V$34,3,FALSE),0)</f>
        <v>121.72</v>
      </c>
      <c r="F62" s="4">
        <f>IF(NOT(ISBLANK(F61)),VLOOKUP(F61,$T$5:$V$34,3,FALSE),0)</f>
        <v>22.6</v>
      </c>
      <c r="G62" s="4">
        <f>IF(NOT(ISBLANK(G61)),VLOOKUP(G61,$T$5:$V$34,3,FALSE),0)</f>
        <v>5.2</v>
      </c>
      <c r="I62" s="4">
        <f>IF(NOT(ISBLANK(I61)),VLOOKUP(I61,$T$5:$V$34,2,FALSE),0)</f>
        <v>64.27000000000001</v>
      </c>
      <c r="J62" s="4">
        <f>IF(NOT(ISBLANK(J61)),VLOOKUP(J61,$T$5:$V$34,2,FALSE),0)</f>
        <v>0</v>
      </c>
      <c r="K62" s="4">
        <f>IF(NOT(ISBLANK(K61)),VLOOKUP(K61,$T$5:$V$34,2,FALSE),0)</f>
        <v>0</v>
      </c>
    </row>
    <row r="63" spans="3:18" x14ac:dyDescent="0.25">
      <c r="C63" s="2" t="s">
        <v>9</v>
      </c>
      <c r="E63" s="6">
        <f>E62*E60</f>
        <v>2677.84</v>
      </c>
      <c r="F63" s="6">
        <f>F62*F60</f>
        <v>4746</v>
      </c>
      <c r="G63" s="6">
        <f>G62*G60</f>
        <v>31.200000000000003</v>
      </c>
      <c r="H63" s="1"/>
      <c r="I63" s="6">
        <f>I60*I62</f>
        <v>5205.8700000000008</v>
      </c>
      <c r="J63" s="6">
        <f>J60*J62</f>
        <v>0</v>
      </c>
      <c r="K63" s="6">
        <f>K60*K62</f>
        <v>0</v>
      </c>
      <c r="L63" s="1"/>
      <c r="M63" s="4">
        <f>SUM(I63:K63)-SUM(E63:G63)</f>
        <v>-2249.1699999999992</v>
      </c>
      <c r="N63" s="4">
        <f>M63/D60</f>
        <v>-74.97233333333331</v>
      </c>
      <c r="O63" s="3">
        <f>M63/SUM(I63:J63)</f>
        <v>-0.43204497999373759</v>
      </c>
      <c r="P63" s="1"/>
      <c r="Q63" s="4">
        <v>203603</v>
      </c>
      <c r="R63" s="5">
        <f>Q63/M63*D60</f>
        <v>-2715.708461343519</v>
      </c>
    </row>
    <row r="65" spans="3:18" x14ac:dyDescent="0.25">
      <c r="C65" t="s">
        <v>62</v>
      </c>
      <c r="D65">
        <v>5</v>
      </c>
      <c r="E65" s="7">
        <v>135</v>
      </c>
      <c r="F65" s="7">
        <v>30</v>
      </c>
      <c r="G65" s="7">
        <v>12</v>
      </c>
      <c r="I65" s="7">
        <v>175</v>
      </c>
      <c r="J65" s="7"/>
      <c r="K65" s="7"/>
    </row>
    <row r="66" spans="3:18" x14ac:dyDescent="0.25">
      <c r="C66" s="2" t="s">
        <v>45</v>
      </c>
      <c r="E66" s="4" t="s">
        <v>16</v>
      </c>
      <c r="F66" s="4" t="s">
        <v>34</v>
      </c>
      <c r="G66" s="4" t="s">
        <v>15</v>
      </c>
      <c r="I66" s="4" t="s">
        <v>40</v>
      </c>
    </row>
    <row r="67" spans="3:18" x14ac:dyDescent="0.25">
      <c r="C67" s="2" t="s">
        <v>10</v>
      </c>
      <c r="E67" s="4">
        <f>IF(NOT(ISBLANK(E66)),VLOOKUP(E66,$T$5:$V$34,3,FALSE),0)</f>
        <v>22.6</v>
      </c>
      <c r="F67" s="4">
        <f>IF(NOT(ISBLANK(F66)),VLOOKUP(F66,$T$5:$V$34,3,FALSE),0)</f>
        <v>92.07</v>
      </c>
      <c r="G67" s="4">
        <f>IF(NOT(ISBLANK(G66)),VLOOKUP(G66,$T$5:$V$34,3,FALSE),0)</f>
        <v>5.2</v>
      </c>
      <c r="I67" s="4">
        <f>IF(NOT(ISBLANK(I66)),VLOOKUP(I66,$T$5:$V$34,2,FALSE),0)</f>
        <v>6.42</v>
      </c>
      <c r="J67" s="4">
        <f>IF(NOT(ISBLANK(J66)),VLOOKUP(J66,$T$5:$V$34,2,FALSE),0)</f>
        <v>0</v>
      </c>
      <c r="K67" s="4">
        <f>IF(NOT(ISBLANK(K66)),VLOOKUP(K66,$T$5:$V$34,2,FALSE),0)</f>
        <v>0</v>
      </c>
    </row>
    <row r="68" spans="3:18" x14ac:dyDescent="0.25">
      <c r="C68" s="2" t="s">
        <v>9</v>
      </c>
      <c r="E68" s="6">
        <f>E67*E65</f>
        <v>3051</v>
      </c>
      <c r="F68" s="6">
        <f>F67*F65</f>
        <v>2762.1</v>
      </c>
      <c r="G68" s="6">
        <f>G67*G65</f>
        <v>62.400000000000006</v>
      </c>
      <c r="H68" s="1"/>
      <c r="I68" s="6">
        <f>I65*I67</f>
        <v>1123.5</v>
      </c>
      <c r="J68" s="6">
        <f>J65*J67</f>
        <v>0</v>
      </c>
      <c r="K68" s="6">
        <f>K65*K67</f>
        <v>0</v>
      </c>
      <c r="L68" s="1"/>
      <c r="M68" s="4">
        <f>SUM(I68:K68)-SUM(E68:G68)</f>
        <v>-4752</v>
      </c>
      <c r="N68" s="4">
        <f>M68/D65</f>
        <v>-950.4</v>
      </c>
      <c r="O68" s="3">
        <f>M68/SUM(I68:J68)</f>
        <v>-4.2296395193591456</v>
      </c>
      <c r="P68" s="1"/>
      <c r="Q68" s="4">
        <v>34720</v>
      </c>
      <c r="R68" s="5">
        <f>Q68/M68*D65</f>
        <v>-36.531986531986533</v>
      </c>
    </row>
    <row r="70" spans="3:18" x14ac:dyDescent="0.25">
      <c r="C70" t="s">
        <v>63</v>
      </c>
      <c r="D70">
        <v>1</v>
      </c>
      <c r="E70" s="7">
        <v>3.9</v>
      </c>
      <c r="F70" s="7"/>
      <c r="G70" s="7"/>
      <c r="I70" s="7">
        <v>7</v>
      </c>
      <c r="J70" s="7"/>
      <c r="K70" s="7"/>
    </row>
    <row r="71" spans="3:18" x14ac:dyDescent="0.25">
      <c r="C71" s="2" t="s">
        <v>45</v>
      </c>
      <c r="E71" s="4" t="s">
        <v>15</v>
      </c>
      <c r="I71" s="4" t="s">
        <v>23</v>
      </c>
    </row>
    <row r="72" spans="3:18" x14ac:dyDescent="0.25">
      <c r="C72" s="2" t="s">
        <v>10</v>
      </c>
      <c r="E72" s="4">
        <f>IF(NOT(ISBLANK(E71)),VLOOKUP(E71,$T$5:$V$34,3,FALSE),0)</f>
        <v>5.2</v>
      </c>
      <c r="F72" s="4">
        <f>IF(NOT(ISBLANK(F71)),VLOOKUP(F71,$T$5:$V$34,3,FALSE),0)</f>
        <v>0</v>
      </c>
      <c r="G72" s="4">
        <f>IF(NOT(ISBLANK(G71)),VLOOKUP(G71,$T$5:$V$34,3,FALSE),0)</f>
        <v>0</v>
      </c>
      <c r="I72" s="4">
        <f>IF(NOT(ISBLANK(I71)),VLOOKUP(I71,$T$5:$V$34,2,FALSE),0)</f>
        <v>45.03</v>
      </c>
      <c r="J72" s="4">
        <f>IF(NOT(ISBLANK(J71)),VLOOKUP(J71,$T$5:$V$34,2,FALSE),0)</f>
        <v>0</v>
      </c>
      <c r="K72" s="4">
        <f>IF(NOT(ISBLANK(K71)),VLOOKUP(K71,$T$5:$V$34,2,FALSE),0)</f>
        <v>0</v>
      </c>
    </row>
    <row r="73" spans="3:18" x14ac:dyDescent="0.25">
      <c r="C73" s="2" t="s">
        <v>9</v>
      </c>
      <c r="E73" s="6">
        <f>E72*E70</f>
        <v>20.28</v>
      </c>
      <c r="F73" s="6">
        <f>F72*F70</f>
        <v>0</v>
      </c>
      <c r="G73" s="6">
        <f>G72*G70</f>
        <v>0</v>
      </c>
      <c r="H73" s="1"/>
      <c r="I73" s="6">
        <f>I70*I72</f>
        <v>315.21000000000004</v>
      </c>
      <c r="J73" s="6">
        <f>J70*J72</f>
        <v>0</v>
      </c>
      <c r="K73" s="6">
        <f>K70*K72</f>
        <v>0</v>
      </c>
      <c r="L73" s="1"/>
      <c r="M73" s="4">
        <f>SUM(I73:K73)-SUM(E73:G73)</f>
        <v>294.93000000000006</v>
      </c>
      <c r="N73" s="4">
        <f>M73/D70</f>
        <v>294.93000000000006</v>
      </c>
      <c r="O73" s="3">
        <f>M73/SUM(I73:J73)</f>
        <v>0.93566193965927491</v>
      </c>
      <c r="P73" s="1"/>
      <c r="Q73" s="4">
        <v>6069</v>
      </c>
      <c r="R73" s="5">
        <f>Q73/M73*D70</f>
        <v>20.577764215237508</v>
      </c>
    </row>
    <row r="75" spans="3:18" x14ac:dyDescent="0.25">
      <c r="C75" t="s">
        <v>64</v>
      </c>
      <c r="D75">
        <v>500</v>
      </c>
      <c r="E75" s="7">
        <v>250</v>
      </c>
      <c r="F75" s="7">
        <v>12</v>
      </c>
      <c r="G75" s="7"/>
      <c r="I75" s="7">
        <v>125</v>
      </c>
      <c r="J75" s="7">
        <v>75</v>
      </c>
      <c r="K75" s="7"/>
    </row>
    <row r="76" spans="3:18" x14ac:dyDescent="0.25">
      <c r="C76" s="2" t="s">
        <v>45</v>
      </c>
      <c r="E76" s="4" t="s">
        <v>23</v>
      </c>
      <c r="F76" s="4" t="s">
        <v>15</v>
      </c>
      <c r="I76" s="4" t="s">
        <v>31</v>
      </c>
      <c r="J76" s="4" t="s">
        <v>29</v>
      </c>
    </row>
    <row r="77" spans="3:18" x14ac:dyDescent="0.25">
      <c r="C77" s="2" t="s">
        <v>10</v>
      </c>
      <c r="E77" s="4">
        <f>IF(NOT(ISBLANK(E76)),VLOOKUP(E76,$T$5:$V$34,3,FALSE),0)</f>
        <v>70.8</v>
      </c>
      <c r="F77" s="4">
        <f>IF(NOT(ISBLANK(F76)),VLOOKUP(F76,$T$5:$V$34,3,FALSE),0)</f>
        <v>5.2</v>
      </c>
      <c r="G77" s="4">
        <f>IF(NOT(ISBLANK(G76)),VLOOKUP(G76,$T$5:$V$34,3,FALSE),0)</f>
        <v>0</v>
      </c>
      <c r="I77" s="4">
        <f>IF(NOT(ISBLANK(I76)),VLOOKUP(I76,$T$5:$V$34,2,FALSE),0)</f>
        <v>160.35999999999999</v>
      </c>
      <c r="J77" s="4">
        <f>IF(NOT(ISBLANK(J76)),VLOOKUP(J76,$T$5:$V$34,2,FALSE),0)</f>
        <v>223.07999999999998</v>
      </c>
      <c r="K77" s="4">
        <f>IF(NOT(ISBLANK(K76)),VLOOKUP(K76,$T$5:$V$34,2,FALSE),0)</f>
        <v>0</v>
      </c>
    </row>
    <row r="78" spans="3:18" x14ac:dyDescent="0.25">
      <c r="C78" s="2" t="s">
        <v>9</v>
      </c>
      <c r="E78" s="6">
        <f>E77*E75</f>
        <v>17700</v>
      </c>
      <c r="F78" s="6">
        <f>F77*F75</f>
        <v>62.400000000000006</v>
      </c>
      <c r="G78" s="6">
        <f>G77*G75</f>
        <v>0</v>
      </c>
      <c r="H78" s="1"/>
      <c r="I78" s="6">
        <f>I75*I77</f>
        <v>20044.999999999996</v>
      </c>
      <c r="J78" s="6">
        <f>J75*J77</f>
        <v>16731</v>
      </c>
      <c r="K78" s="6">
        <f>K75*K77</f>
        <v>0</v>
      </c>
      <c r="L78" s="1"/>
      <c r="M78" s="4">
        <f>SUM(I78:K78)-SUM(E78:G78)</f>
        <v>19013.599999999999</v>
      </c>
      <c r="N78" s="4">
        <f>M78/D75</f>
        <v>38.027200000000001</v>
      </c>
      <c r="O78" s="3">
        <f>M78/SUM(I78:J78)</f>
        <v>0.5170110941918642</v>
      </c>
      <c r="P78" s="1"/>
      <c r="Q78" s="4">
        <v>296868</v>
      </c>
      <c r="R78" s="5">
        <f>Q78/M78*D75</f>
        <v>7806.7278158791614</v>
      </c>
    </row>
    <row r="80" spans="3:18" x14ac:dyDescent="0.25">
      <c r="C80" t="s">
        <v>39</v>
      </c>
      <c r="D80">
        <v>5</v>
      </c>
      <c r="E80" s="7">
        <v>125</v>
      </c>
      <c r="F80" s="7">
        <v>20</v>
      </c>
      <c r="G80" s="7">
        <v>15</v>
      </c>
      <c r="I80" s="7">
        <v>145</v>
      </c>
      <c r="J80" s="7"/>
      <c r="K80" s="7"/>
    </row>
    <row r="81" spans="3:18" x14ac:dyDescent="0.25">
      <c r="C81" s="2" t="s">
        <v>45</v>
      </c>
      <c r="E81" s="4" t="s">
        <v>16</v>
      </c>
      <c r="F81" s="4" t="s">
        <v>29</v>
      </c>
      <c r="G81" s="4" t="s">
        <v>15</v>
      </c>
      <c r="I81" s="4" t="s">
        <v>39</v>
      </c>
    </row>
    <row r="82" spans="3:18" x14ac:dyDescent="0.25">
      <c r="C82" s="2" t="s">
        <v>10</v>
      </c>
      <c r="E82" s="4">
        <f>IF(NOT(ISBLANK(E81)),VLOOKUP(E81,$T$5:$V$34,3,FALSE),0)</f>
        <v>22.6</v>
      </c>
      <c r="F82" s="4">
        <f>IF(NOT(ISBLANK(F81)),VLOOKUP(F81,$T$5:$V$34,3,FALSE),0)</f>
        <v>267.60000000000002</v>
      </c>
      <c r="G82" s="4">
        <f>IF(NOT(ISBLANK(G81)),VLOOKUP(G81,$T$5:$V$34,3,FALSE),0)</f>
        <v>5.2</v>
      </c>
      <c r="I82" s="4">
        <f>IF(NOT(ISBLANK(I81)),VLOOKUP(I81,$T$5:$V$34,2,FALSE),0)</f>
        <v>29.15</v>
      </c>
      <c r="J82" s="4">
        <f>IF(NOT(ISBLANK(J81)),VLOOKUP(J81,$T$5:$V$34,2,FALSE),0)</f>
        <v>0</v>
      </c>
      <c r="K82" s="4">
        <f>IF(NOT(ISBLANK(K81)),VLOOKUP(K81,$T$5:$V$34,2,FALSE),0)</f>
        <v>0</v>
      </c>
    </row>
    <row r="83" spans="3:18" x14ac:dyDescent="0.25">
      <c r="C83" s="2" t="s">
        <v>9</v>
      </c>
      <c r="E83" s="6">
        <f>E82*E80</f>
        <v>2825</v>
      </c>
      <c r="F83" s="6">
        <f>F82*F80</f>
        <v>5352</v>
      </c>
      <c r="G83" s="6">
        <f>G82*G80</f>
        <v>78</v>
      </c>
      <c r="H83" s="1"/>
      <c r="I83" s="6">
        <f>I80*I82</f>
        <v>4226.75</v>
      </c>
      <c r="J83" s="6">
        <f>J80*J82</f>
        <v>0</v>
      </c>
      <c r="K83" s="6">
        <f>K80*K82</f>
        <v>0</v>
      </c>
      <c r="L83" s="1"/>
      <c r="M83" s="4">
        <f>SUM(I83:K83)-SUM(E83:G83)</f>
        <v>-4028.25</v>
      </c>
      <c r="N83" s="4">
        <f>M83/D80</f>
        <v>-805.65</v>
      </c>
      <c r="O83" s="3">
        <f>M83/SUM(I83:J83)</f>
        <v>-0.95303720352516708</v>
      </c>
      <c r="P83" s="1"/>
      <c r="Q83" s="4">
        <v>38940</v>
      </c>
      <c r="R83" s="5">
        <f>Q83/M83*D80</f>
        <v>-48.333643641779929</v>
      </c>
    </row>
    <row r="85" spans="3:18" x14ac:dyDescent="0.25">
      <c r="C85" t="s">
        <v>65</v>
      </c>
      <c r="D85">
        <v>50</v>
      </c>
      <c r="E85" s="7">
        <v>10</v>
      </c>
      <c r="F85" s="7"/>
      <c r="G85" s="7"/>
      <c r="I85" s="7">
        <v>5</v>
      </c>
      <c r="J85" s="7"/>
      <c r="K85" s="7"/>
    </row>
    <row r="86" spans="3:18" x14ac:dyDescent="0.25">
      <c r="C86" s="2" t="s">
        <v>45</v>
      </c>
      <c r="E86" s="4" t="s">
        <v>18</v>
      </c>
      <c r="I86" s="4" t="s">
        <v>38</v>
      </c>
    </row>
    <row r="87" spans="3:18" x14ac:dyDescent="0.25">
      <c r="C87" s="2" t="s">
        <v>10</v>
      </c>
      <c r="E87" s="4">
        <f>IF(NOT(ISBLANK(E86)),VLOOKUP(E86,$T$5:$V$34,3,FALSE),0)</f>
        <v>27.939999999999998</v>
      </c>
      <c r="F87" s="4">
        <f>IF(NOT(ISBLANK(F86)),VLOOKUP(F86,$T$5:$V$34,3,FALSE),0)</f>
        <v>0</v>
      </c>
      <c r="G87" s="4">
        <f>IF(NOT(ISBLANK(G86)),VLOOKUP(G86,$T$5:$V$34,3,FALSE),0)</f>
        <v>0</v>
      </c>
      <c r="I87" s="4">
        <f>IF(NOT(ISBLANK(I86)),VLOOKUP(I86,$T$5:$V$34,2,FALSE),0)</f>
        <v>1612.41</v>
      </c>
      <c r="J87" s="4">
        <f>IF(NOT(ISBLANK(J86)),VLOOKUP(J86,$T$5:$V$34,2,FALSE),0)</f>
        <v>0</v>
      </c>
      <c r="K87" s="4">
        <f>IF(NOT(ISBLANK(K86)),VLOOKUP(K86,$T$5:$V$34,2,FALSE),0)</f>
        <v>0</v>
      </c>
    </row>
    <row r="88" spans="3:18" x14ac:dyDescent="0.25">
      <c r="C88" s="2" t="s">
        <v>9</v>
      </c>
      <c r="E88" s="6">
        <f>E87*E85</f>
        <v>279.39999999999998</v>
      </c>
      <c r="F88" s="6">
        <f>F87*F85</f>
        <v>0</v>
      </c>
      <c r="G88" s="6">
        <f>G87*G85</f>
        <v>0</v>
      </c>
      <c r="H88" s="1"/>
      <c r="I88" s="6">
        <f>I85*I87</f>
        <v>8062.05</v>
      </c>
      <c r="J88" s="6">
        <f>J85*J87</f>
        <v>0</v>
      </c>
      <c r="K88" s="6">
        <f>K85*K87</f>
        <v>0</v>
      </c>
      <c r="L88" s="1"/>
      <c r="M88" s="4">
        <f>SUM(I88:K88)-SUM(E88:G88)</f>
        <v>7782.6500000000005</v>
      </c>
      <c r="N88" s="4">
        <f>M88/D85</f>
        <v>155.65300000000002</v>
      </c>
      <c r="O88" s="3">
        <f>M88/SUM(I88:J88)</f>
        <v>0.96534380213469284</v>
      </c>
      <c r="P88" s="1"/>
      <c r="Q88" s="4">
        <v>47934</v>
      </c>
      <c r="R88" s="5">
        <f>Q88/M88*D85</f>
        <v>307.95423152782149</v>
      </c>
    </row>
    <row r="90" spans="3:18" x14ac:dyDescent="0.25">
      <c r="C90" t="s">
        <v>66</v>
      </c>
      <c r="D90">
        <v>50</v>
      </c>
      <c r="E90" s="7">
        <v>250</v>
      </c>
      <c r="F90" s="7"/>
      <c r="G90" s="7"/>
      <c r="I90" s="7">
        <v>125</v>
      </c>
      <c r="J90" s="7"/>
      <c r="K90" s="7"/>
    </row>
    <row r="91" spans="3:18" x14ac:dyDescent="0.25">
      <c r="C91" s="2" t="s">
        <v>45</v>
      </c>
      <c r="E91" s="4" t="s">
        <v>38</v>
      </c>
      <c r="I91" s="4" t="s">
        <v>37</v>
      </c>
    </row>
    <row r="92" spans="3:18" x14ac:dyDescent="0.25">
      <c r="C92" s="2" t="s">
        <v>10</v>
      </c>
      <c r="E92" s="4">
        <f>IF(NOT(ISBLANK(E91)),VLOOKUP(E91,$T$5:$V$34,3,FALSE),0)</f>
        <v>1803.16</v>
      </c>
      <c r="F92" s="4">
        <f>IF(NOT(ISBLANK(F91)),VLOOKUP(F91,$T$5:$V$34,3,FALSE),0)</f>
        <v>0</v>
      </c>
      <c r="G92" s="4">
        <f>IF(NOT(ISBLANK(G91)),VLOOKUP(G91,$T$5:$V$34,3,FALSE),0)</f>
        <v>0</v>
      </c>
      <c r="I92" s="4">
        <f>IF(NOT(ISBLANK(I91)),VLOOKUP(I91,$T$5:$V$34,2,FALSE),0)</f>
        <v>2342.7400000000002</v>
      </c>
      <c r="J92" s="4">
        <f>IF(NOT(ISBLANK(J91)),VLOOKUP(J91,$T$5:$V$34,2,FALSE),0)</f>
        <v>0</v>
      </c>
      <c r="K92" s="4">
        <f>IF(NOT(ISBLANK(K91)),VLOOKUP(K91,$T$5:$V$34,2,FALSE),0)</f>
        <v>0</v>
      </c>
    </row>
    <row r="93" spans="3:18" x14ac:dyDescent="0.25">
      <c r="C93" s="2" t="s">
        <v>9</v>
      </c>
      <c r="E93" s="6">
        <f>E92*E90</f>
        <v>450790</v>
      </c>
      <c r="F93" s="6">
        <f>F92*F90</f>
        <v>0</v>
      </c>
      <c r="G93" s="6">
        <f>G92*G90</f>
        <v>0</v>
      </c>
      <c r="H93" s="1"/>
      <c r="I93" s="6">
        <f>I90*I92</f>
        <v>292842.50000000006</v>
      </c>
      <c r="J93" s="6">
        <f>J90*J92</f>
        <v>0</v>
      </c>
      <c r="K93" s="6">
        <f>K90*K92</f>
        <v>0</v>
      </c>
      <c r="L93" s="1"/>
      <c r="M93" s="4">
        <f>SUM(I93:K93)-SUM(E93:G93)</f>
        <v>-157947.49999999994</v>
      </c>
      <c r="N93" s="4">
        <f>M93/D90</f>
        <v>-3158.9499999999989</v>
      </c>
      <c r="O93" s="3">
        <f>M93/SUM(I93:J93)</f>
        <v>-0.53935989482400915</v>
      </c>
      <c r="P93" s="1"/>
      <c r="Q93" s="4">
        <v>35621</v>
      </c>
      <c r="R93" s="5">
        <f>Q93/M93*D90</f>
        <v>-11.276215198087975</v>
      </c>
    </row>
    <row r="95" spans="3:18" x14ac:dyDescent="0.25">
      <c r="C95" t="s">
        <v>8</v>
      </c>
      <c r="D95">
        <v>170</v>
      </c>
      <c r="E95" s="4">
        <v>42</v>
      </c>
      <c r="I95" s="4">
        <v>20</v>
      </c>
    </row>
    <row r="96" spans="3:18" x14ac:dyDescent="0.25">
      <c r="C96" s="2" t="s">
        <v>45</v>
      </c>
      <c r="E96" s="4" t="s">
        <v>18</v>
      </c>
      <c r="I96" s="4" t="s">
        <v>35</v>
      </c>
    </row>
    <row r="97" spans="3:18" x14ac:dyDescent="0.25">
      <c r="C97" s="2" t="s">
        <v>10</v>
      </c>
      <c r="E97" s="4">
        <f>IF(NOT(ISBLANK(E96)),VLOOKUP(E96,$T$5:$V$34,3,FALSE),0)</f>
        <v>27.939999999999998</v>
      </c>
      <c r="F97" s="4">
        <f>IF(NOT(ISBLANK(F96)),VLOOKUP(F96,$T$5:$V$34,3,FALSE),0)</f>
        <v>0</v>
      </c>
      <c r="G97" s="4">
        <f>IF(NOT(ISBLANK(G96)),VLOOKUP(G96,$T$5:$V$34,3,FALSE),0)</f>
        <v>0</v>
      </c>
      <c r="I97" s="4">
        <f>IF(NOT(ISBLANK(I96)),VLOOKUP(I96,$T$5:$V$34,2,FALSE),0)</f>
        <v>108.24000000000001</v>
      </c>
      <c r="J97" s="4">
        <f>IF(NOT(ISBLANK(J96)),VLOOKUP(J96,$T$5:$V$34,2,FALSE),0)</f>
        <v>0</v>
      </c>
      <c r="K97" s="4">
        <f>IF(NOT(ISBLANK(K96)),VLOOKUP(K96,$T$5:$V$34,2,FALSE),0)</f>
        <v>0</v>
      </c>
    </row>
    <row r="98" spans="3:18" x14ac:dyDescent="0.25">
      <c r="C98" s="2" t="s">
        <v>9</v>
      </c>
      <c r="E98" s="6">
        <f>E97*E95</f>
        <v>1173.48</v>
      </c>
      <c r="F98" s="6">
        <f t="shared" ref="F98:G98" si="2">F97*F95</f>
        <v>0</v>
      </c>
      <c r="G98" s="6">
        <f t="shared" si="2"/>
        <v>0</v>
      </c>
      <c r="H98" s="1"/>
      <c r="I98" s="6">
        <f>I95*I97</f>
        <v>2164.8000000000002</v>
      </c>
      <c r="J98" s="6">
        <f>J95*J97</f>
        <v>0</v>
      </c>
      <c r="K98" s="6">
        <f>K95*K97</f>
        <v>0</v>
      </c>
      <c r="L98" s="1"/>
      <c r="M98" s="4">
        <f>SUM(I98:K98)-SUM(E98:G98)</f>
        <v>991.32000000000016</v>
      </c>
      <c r="N98" s="4">
        <f>M98/D95</f>
        <v>5.8312941176470598</v>
      </c>
      <c r="O98" s="3">
        <f>M98/SUM(I98:J98)</f>
        <v>0.4579268292682927</v>
      </c>
      <c r="P98" s="1"/>
      <c r="Q98" s="4">
        <v>71504</v>
      </c>
      <c r="R98" s="5">
        <f>Q98/M98*D95</f>
        <v>12262.115159585197</v>
      </c>
    </row>
    <row r="100" spans="3:18" x14ac:dyDescent="0.25">
      <c r="C100" t="s">
        <v>67</v>
      </c>
      <c r="D100">
        <v>100</v>
      </c>
      <c r="E100" s="7">
        <v>30</v>
      </c>
      <c r="F100" s="7">
        <v>10</v>
      </c>
      <c r="G100" s="7"/>
      <c r="I100" s="7">
        <v>6</v>
      </c>
      <c r="J100" s="7"/>
      <c r="K100" s="7"/>
    </row>
    <row r="101" spans="3:18" x14ac:dyDescent="0.25">
      <c r="C101" s="2" t="s">
        <v>45</v>
      </c>
      <c r="E101" s="4" t="s">
        <v>18</v>
      </c>
      <c r="F101" s="4" t="s">
        <v>15</v>
      </c>
      <c r="I101" s="4" t="s">
        <v>33</v>
      </c>
    </row>
    <row r="102" spans="3:18" x14ac:dyDescent="0.25">
      <c r="C102" s="2" t="s">
        <v>10</v>
      </c>
      <c r="E102" s="4">
        <f>IF(NOT(ISBLANK(E101)),VLOOKUP(E101,$T$5:$V$34,3,FALSE),0)</f>
        <v>27.939999999999998</v>
      </c>
      <c r="F102" s="4">
        <f>IF(NOT(ISBLANK(F101)),VLOOKUP(F101,$T$5:$V$34,3,FALSE),0)</f>
        <v>5.2</v>
      </c>
      <c r="G102" s="4">
        <f>IF(NOT(ISBLANK(G101)),VLOOKUP(G101,$T$5:$V$34,3,FALSE),0)</f>
        <v>0</v>
      </c>
      <c r="I102" s="4">
        <f>IF(NOT(ISBLANK(I101)),VLOOKUP(I101,$T$5:$V$34,2,FALSE),0)</f>
        <v>230.89999999999998</v>
      </c>
      <c r="J102" s="4">
        <f>IF(NOT(ISBLANK(J101)),VLOOKUP(J101,$T$5:$V$34,2,FALSE),0)</f>
        <v>0</v>
      </c>
      <c r="K102" s="4">
        <f>IF(NOT(ISBLANK(K101)),VLOOKUP(K101,$T$5:$V$34,2,FALSE),0)</f>
        <v>0</v>
      </c>
    </row>
    <row r="103" spans="3:18" x14ac:dyDescent="0.25">
      <c r="C103" s="2" t="s">
        <v>9</v>
      </c>
      <c r="E103" s="6">
        <f>E102*E100</f>
        <v>838.19999999999993</v>
      </c>
      <c r="F103" s="6">
        <f>F102*F100</f>
        <v>52</v>
      </c>
      <c r="G103" s="6">
        <f>G102*G100</f>
        <v>0</v>
      </c>
      <c r="H103" s="1"/>
      <c r="I103" s="6">
        <f>I100*I102</f>
        <v>1385.3999999999999</v>
      </c>
      <c r="J103" s="6">
        <f>J100*J102</f>
        <v>0</v>
      </c>
      <c r="K103" s="6">
        <f>K100*K102</f>
        <v>0</v>
      </c>
      <c r="L103" s="1"/>
      <c r="M103" s="4">
        <f>SUM(I103:K103)-SUM(E103:G103)</f>
        <v>495.19999999999993</v>
      </c>
      <c r="N103" s="4">
        <f>M103/D100</f>
        <v>4.9519999999999991</v>
      </c>
      <c r="O103" s="3">
        <f>M103/SUM(I103:J103)</f>
        <v>0.357441894037823</v>
      </c>
      <c r="P103" s="1"/>
      <c r="Q103" s="4">
        <v>37951</v>
      </c>
      <c r="R103" s="5">
        <f>Q103/M103*D100</f>
        <v>7663.7722132471736</v>
      </c>
    </row>
    <row r="105" spans="3:18" x14ac:dyDescent="0.25">
      <c r="C105" t="s">
        <v>69</v>
      </c>
      <c r="D105">
        <v>50</v>
      </c>
      <c r="E105" s="7">
        <v>0.5</v>
      </c>
      <c r="F105" s="7">
        <v>0.5</v>
      </c>
      <c r="G105" s="7">
        <v>1</v>
      </c>
      <c r="I105" s="7">
        <v>0.5</v>
      </c>
      <c r="J105" s="7"/>
      <c r="K105" s="7"/>
    </row>
    <row r="106" spans="3:18" x14ac:dyDescent="0.25">
      <c r="C106" s="2" t="s">
        <v>45</v>
      </c>
      <c r="E106" s="4" t="s">
        <v>16</v>
      </c>
      <c r="F106" s="4" t="s">
        <v>22</v>
      </c>
      <c r="G106" s="4" t="s">
        <v>23</v>
      </c>
      <c r="I106" s="4" t="s">
        <v>24</v>
      </c>
    </row>
    <row r="107" spans="3:18" x14ac:dyDescent="0.25">
      <c r="C107" s="2" t="s">
        <v>10</v>
      </c>
      <c r="E107" s="4">
        <f>IF(NOT(ISBLANK(E106)),VLOOKUP(E106,$T$5:$V$34,3,FALSE),0)</f>
        <v>22.6</v>
      </c>
      <c r="F107" s="4">
        <f>IF(NOT(ISBLANK(F106)),VLOOKUP(F106,$T$5:$V$34,3,FALSE),0)</f>
        <v>22.15</v>
      </c>
      <c r="G107" s="4">
        <f>IF(NOT(ISBLANK(G106)),VLOOKUP(G106,$T$5:$V$34,3,FALSE),0)</f>
        <v>70.8</v>
      </c>
      <c r="I107" s="4">
        <f>IF(NOT(ISBLANK(I106)),VLOOKUP(I106,$T$5:$V$34,2,FALSE),0)</f>
        <v>2058.0500000000002</v>
      </c>
      <c r="J107" s="4">
        <f>IF(NOT(ISBLANK(J106)),VLOOKUP(J106,$T$5:$V$34,2,FALSE),0)</f>
        <v>0</v>
      </c>
      <c r="K107" s="4">
        <f>IF(NOT(ISBLANK(K106)),VLOOKUP(K106,$T$5:$V$34,2,FALSE),0)</f>
        <v>0</v>
      </c>
    </row>
    <row r="108" spans="3:18" x14ac:dyDescent="0.25">
      <c r="C108" s="2" t="s">
        <v>9</v>
      </c>
      <c r="E108" s="6">
        <f>E107*E105</f>
        <v>11.3</v>
      </c>
      <c r="F108" s="6">
        <f>F107*F105</f>
        <v>11.074999999999999</v>
      </c>
      <c r="G108" s="6">
        <f>G107*G105</f>
        <v>70.8</v>
      </c>
      <c r="H108" s="1"/>
      <c r="I108" s="6">
        <f>I105*I107</f>
        <v>1029.0250000000001</v>
      </c>
      <c r="J108" s="6">
        <f>J105*J107</f>
        <v>0</v>
      </c>
      <c r="K108" s="6">
        <f>K105*K107</f>
        <v>0</v>
      </c>
      <c r="L108" s="1"/>
      <c r="M108" s="4">
        <f>SUM(I108:K108)-SUM(E108:G108)</f>
        <v>935.85000000000014</v>
      </c>
      <c r="N108" s="4">
        <f>M108/D105</f>
        <v>18.717000000000002</v>
      </c>
      <c r="O108" s="3">
        <f>M108/SUM(I108:J108)</f>
        <v>0.90945312310196547</v>
      </c>
      <c r="P108" s="1"/>
      <c r="Q108" s="4">
        <v>0</v>
      </c>
      <c r="R108" s="5">
        <f>Q108/M108*D105</f>
        <v>0</v>
      </c>
    </row>
    <row r="110" spans="3:18" x14ac:dyDescent="0.25">
      <c r="C110" t="s">
        <v>70</v>
      </c>
      <c r="D110">
        <v>100</v>
      </c>
      <c r="E110" s="7">
        <v>10</v>
      </c>
      <c r="F110" s="7">
        <v>35</v>
      </c>
      <c r="G110" s="7">
        <v>13</v>
      </c>
      <c r="I110" s="7">
        <v>15</v>
      </c>
      <c r="J110" s="7"/>
      <c r="K110" s="7"/>
    </row>
    <row r="111" spans="3:18" x14ac:dyDescent="0.25">
      <c r="C111" s="2" t="s">
        <v>45</v>
      </c>
      <c r="E111" s="4" t="s">
        <v>24</v>
      </c>
      <c r="F111" s="4" t="s">
        <v>23</v>
      </c>
      <c r="G111" s="4" t="s">
        <v>15</v>
      </c>
      <c r="I111" s="4" t="s">
        <v>43</v>
      </c>
    </row>
    <row r="112" spans="3:18" x14ac:dyDescent="0.25">
      <c r="C112" s="2" t="s">
        <v>10</v>
      </c>
      <c r="E112" s="4">
        <f>IF(NOT(ISBLANK(E111)),VLOOKUP(E111,$T$5:$V$34,3,FALSE),0)</f>
        <v>2295.7199999999998</v>
      </c>
      <c r="F112" s="4">
        <f>IF(NOT(ISBLANK(F111)),VLOOKUP(F111,$T$5:$V$34,3,FALSE),0)</f>
        <v>70.8</v>
      </c>
      <c r="G112" s="4">
        <f>IF(NOT(ISBLANK(G111)),VLOOKUP(G111,$T$5:$V$34,3,FALSE),0)</f>
        <v>5.2</v>
      </c>
      <c r="I112" s="4">
        <f>IF(NOT(ISBLANK(I111)),VLOOKUP(I111,$T$5:$V$34,2,FALSE),0)</f>
        <v>879.17</v>
      </c>
      <c r="J112" s="4">
        <f>IF(NOT(ISBLANK(J111)),VLOOKUP(J111,$T$5:$V$34,2,FALSE),0)</f>
        <v>0</v>
      </c>
      <c r="K112" s="4">
        <f>IF(NOT(ISBLANK(K111)),VLOOKUP(K111,$T$5:$V$34,2,FALSE),0)</f>
        <v>0</v>
      </c>
    </row>
    <row r="113" spans="3:18" x14ac:dyDescent="0.25">
      <c r="C113" s="2" t="s">
        <v>9</v>
      </c>
      <c r="E113" s="6">
        <f>E112*E110</f>
        <v>22957.199999999997</v>
      </c>
      <c r="F113" s="6">
        <f>F112*F110</f>
        <v>2478</v>
      </c>
      <c r="G113" s="6">
        <f>G112*G110</f>
        <v>67.600000000000009</v>
      </c>
      <c r="H113" s="1"/>
      <c r="I113" s="6">
        <f>I110*I112</f>
        <v>13187.55</v>
      </c>
      <c r="J113" s="6">
        <f>J110*J112</f>
        <v>0</v>
      </c>
      <c r="K113" s="6">
        <f>K110*K112</f>
        <v>0</v>
      </c>
      <c r="L113" s="1"/>
      <c r="M113" s="4">
        <f>SUM(I113:K113)-SUM(E113:G113)</f>
        <v>-12315.249999999996</v>
      </c>
      <c r="N113" s="4">
        <f>M113/D110</f>
        <v>-123.15249999999996</v>
      </c>
      <c r="O113" s="3">
        <f>M113/SUM(I113:J113)</f>
        <v>-0.93385427922548137</v>
      </c>
      <c r="P113" s="1"/>
      <c r="Q113" s="4">
        <v>33226</v>
      </c>
      <c r="R113" s="5">
        <f>Q113/M113*D110</f>
        <v>-269.79557865248381</v>
      </c>
    </row>
    <row r="115" spans="3:18" x14ac:dyDescent="0.25">
      <c r="C115" t="s">
        <v>32</v>
      </c>
      <c r="D115">
        <v>100</v>
      </c>
      <c r="E115" s="7">
        <v>20</v>
      </c>
      <c r="F115" s="7">
        <v>0.5</v>
      </c>
      <c r="G115" s="7">
        <v>10</v>
      </c>
      <c r="I115" s="7">
        <v>5</v>
      </c>
      <c r="J115" s="7"/>
      <c r="K115" s="7"/>
    </row>
    <row r="116" spans="3:18" x14ac:dyDescent="0.25">
      <c r="C116" s="2" t="s">
        <v>45</v>
      </c>
      <c r="E116" s="4" t="s">
        <v>18</v>
      </c>
      <c r="F116" s="4" t="s">
        <v>24</v>
      </c>
      <c r="G116" s="4" t="s">
        <v>15</v>
      </c>
      <c r="I116" s="4" t="s">
        <v>32</v>
      </c>
    </row>
    <row r="117" spans="3:18" x14ac:dyDescent="0.25">
      <c r="C117" s="2" t="s">
        <v>10</v>
      </c>
      <c r="E117" s="4">
        <f>IF(NOT(ISBLANK(E116)),VLOOKUP(E116,$T$5:$V$34,3,FALSE),0)</f>
        <v>27.939999999999998</v>
      </c>
      <c r="F117" s="4">
        <f>IF(NOT(ISBLANK(F116)),VLOOKUP(F116,$T$5:$V$34,3,FALSE),0)</f>
        <v>2295.7199999999998</v>
      </c>
      <c r="G117" s="4">
        <f>IF(NOT(ISBLANK(G116)),VLOOKUP(G116,$T$5:$V$34,3,FALSE),0)</f>
        <v>5.2</v>
      </c>
      <c r="I117" s="4">
        <f>IF(NOT(ISBLANK(I116)),VLOOKUP(I116,$T$5:$V$34,2,FALSE),0)</f>
        <v>331.3</v>
      </c>
      <c r="J117" s="4">
        <f>IF(NOT(ISBLANK(J116)),VLOOKUP(J116,$T$5:$V$34,2,FALSE),0)</f>
        <v>0</v>
      </c>
      <c r="K117" s="4">
        <f>IF(NOT(ISBLANK(K116)),VLOOKUP(K116,$T$5:$V$34,2,FALSE),0)</f>
        <v>0</v>
      </c>
    </row>
    <row r="118" spans="3:18" x14ac:dyDescent="0.25">
      <c r="C118" s="2" t="s">
        <v>9</v>
      </c>
      <c r="E118" s="6">
        <f>E117*E115</f>
        <v>558.79999999999995</v>
      </c>
      <c r="F118" s="6">
        <f>F117*F115</f>
        <v>1147.8599999999999</v>
      </c>
      <c r="G118" s="6">
        <f>G117*G115</f>
        <v>52</v>
      </c>
      <c r="H118" s="1"/>
      <c r="I118" s="6">
        <f>I115*I117</f>
        <v>1656.5</v>
      </c>
      <c r="J118" s="6">
        <f>J115*J117</f>
        <v>0</v>
      </c>
      <c r="K118" s="6">
        <f>K115*K117</f>
        <v>0</v>
      </c>
      <c r="L118" s="1"/>
      <c r="M118" s="4">
        <f>SUM(I118:K118)-SUM(E118:G118)</f>
        <v>-102.15999999999985</v>
      </c>
      <c r="N118" s="4">
        <f>M118/D115</f>
        <v>-1.0215999999999985</v>
      </c>
      <c r="O118" s="3">
        <f>M118/SUM(I118:J118)</f>
        <v>-6.1672200422577636E-2</v>
      </c>
      <c r="P118" s="1"/>
      <c r="Q118" s="4">
        <v>35900</v>
      </c>
      <c r="R118" s="5">
        <f>Q118/M118*D115</f>
        <v>-35140.955364134745</v>
      </c>
    </row>
    <row r="119" spans="3:18" x14ac:dyDescent="0.25">
      <c r="C119" s="2"/>
      <c r="E119" s="6"/>
      <c r="F119" s="6"/>
      <c r="G119" s="6"/>
      <c r="H119" s="1"/>
      <c r="I119" s="6"/>
      <c r="J119" s="6"/>
      <c r="K119" s="6"/>
      <c r="L119" s="1"/>
      <c r="P119" s="1"/>
    </row>
    <row r="120" spans="3:18" x14ac:dyDescent="0.25">
      <c r="C120" t="s">
        <v>71</v>
      </c>
      <c r="D120">
        <v>150</v>
      </c>
      <c r="E120" s="7">
        <v>22</v>
      </c>
      <c r="F120" s="7"/>
      <c r="G120" s="7"/>
      <c r="I120" s="7">
        <v>15</v>
      </c>
      <c r="J120" s="7"/>
      <c r="K120" s="7"/>
    </row>
    <row r="121" spans="3:18" x14ac:dyDescent="0.25">
      <c r="C121" s="2" t="s">
        <v>45</v>
      </c>
      <c r="E121" s="4" t="s">
        <v>19</v>
      </c>
      <c r="I121" s="4" t="s">
        <v>42</v>
      </c>
    </row>
    <row r="122" spans="3:18" x14ac:dyDescent="0.25">
      <c r="C122" s="2" t="s">
        <v>10</v>
      </c>
      <c r="E122" s="4">
        <f>IF(NOT(ISBLANK(E121)),VLOOKUP(E121,$T$5:$V$34,3,FALSE),0)</f>
        <v>1280.81</v>
      </c>
      <c r="F122" s="4">
        <f>IF(NOT(ISBLANK(F121)),VLOOKUP(F121,$T$5:$V$34,3,FALSE),0)</f>
        <v>0</v>
      </c>
      <c r="G122" s="4">
        <f>IF(NOT(ISBLANK(G121)),VLOOKUP(G121,$T$5:$V$34,3,FALSE),0)</f>
        <v>0</v>
      </c>
      <c r="I122" s="4">
        <f>IF(NOT(ISBLANK(I121)),VLOOKUP(I121,$T$5:$V$34,2,FALSE),0)</f>
        <v>1792.32</v>
      </c>
      <c r="J122" s="4">
        <f>IF(NOT(ISBLANK(J121)),VLOOKUP(J121,$T$5:$V$34,2,FALSE),0)</f>
        <v>0</v>
      </c>
      <c r="K122" s="4">
        <f>IF(NOT(ISBLANK(K121)),VLOOKUP(K121,$T$5:$V$34,2,FALSE),0)</f>
        <v>0</v>
      </c>
    </row>
    <row r="123" spans="3:18" x14ac:dyDescent="0.25">
      <c r="C123" s="2" t="s">
        <v>9</v>
      </c>
      <c r="E123" s="6">
        <f>E122*E120</f>
        <v>28177.82</v>
      </c>
      <c r="F123" s="6">
        <f>F122*F120</f>
        <v>0</v>
      </c>
      <c r="G123" s="6">
        <f>G122*G120</f>
        <v>0</v>
      </c>
      <c r="H123" s="1"/>
      <c r="I123" s="6">
        <f>I120*I122</f>
        <v>26884.799999999999</v>
      </c>
      <c r="J123" s="6">
        <f>J120*J122</f>
        <v>0</v>
      </c>
      <c r="K123" s="6">
        <f>K120*K122</f>
        <v>0</v>
      </c>
      <c r="L123" s="1"/>
      <c r="M123" s="4">
        <f>SUM(I123:K123)-SUM(E123:G123)</f>
        <v>-1293.0200000000004</v>
      </c>
      <c r="N123" s="4">
        <f>M123/D120</f>
        <v>-8.620133333333337</v>
      </c>
      <c r="O123" s="3">
        <f>M123/SUM(I123:J123)</f>
        <v>-4.8094834255787672E-2</v>
      </c>
      <c r="P123" s="1"/>
      <c r="Q123" s="4">
        <v>0</v>
      </c>
      <c r="R123" s="5">
        <f>Q123/M123*D120</f>
        <v>0</v>
      </c>
    </row>
    <row r="125" spans="3:18" x14ac:dyDescent="0.25">
      <c r="C125" t="s">
        <v>72</v>
      </c>
      <c r="D125">
        <v>150</v>
      </c>
      <c r="E125" s="7">
        <v>1.5</v>
      </c>
      <c r="F125" s="7">
        <v>1.5</v>
      </c>
      <c r="G125" s="7">
        <v>1.2</v>
      </c>
      <c r="I125" s="7">
        <v>3.8</v>
      </c>
      <c r="J125" s="7"/>
      <c r="K125" s="7"/>
    </row>
    <row r="126" spans="3:18" x14ac:dyDescent="0.25">
      <c r="C126" s="2" t="s">
        <v>45</v>
      </c>
      <c r="E126" s="4" t="s">
        <v>43</v>
      </c>
      <c r="F126" s="4" t="s">
        <v>19</v>
      </c>
      <c r="G126" s="4" t="s">
        <v>24</v>
      </c>
      <c r="I126" s="4" t="s">
        <v>41</v>
      </c>
    </row>
    <row r="127" spans="3:18" x14ac:dyDescent="0.25">
      <c r="C127" s="2" t="s">
        <v>10</v>
      </c>
      <c r="E127" s="4">
        <f>IF(NOT(ISBLANK(E126)),VLOOKUP(E126,$T$5:$V$34,3,FALSE),0)</f>
        <v>992.75</v>
      </c>
      <c r="F127" s="4">
        <f>IF(NOT(ISBLANK(F126)),VLOOKUP(F126,$T$5:$V$34,3,FALSE),0)</f>
        <v>1280.81</v>
      </c>
      <c r="G127" s="4">
        <f>IF(NOT(ISBLANK(G126)),VLOOKUP(G126,$T$5:$V$34,3,FALSE),0)</f>
        <v>2295.7199999999998</v>
      </c>
      <c r="I127" s="4">
        <f>IF(NOT(ISBLANK(I126)),VLOOKUP(I126,$T$5:$V$34,2,FALSE),0)</f>
        <v>1677.18</v>
      </c>
      <c r="J127" s="4">
        <f>IF(NOT(ISBLANK(J126)),VLOOKUP(J126,$T$5:$V$34,2,FALSE),0)</f>
        <v>0</v>
      </c>
      <c r="K127" s="4">
        <f>IF(NOT(ISBLANK(K126)),VLOOKUP(K126,$T$5:$V$34,2,FALSE),0)</f>
        <v>0</v>
      </c>
    </row>
    <row r="128" spans="3:18" x14ac:dyDescent="0.25">
      <c r="C128" s="2" t="s">
        <v>9</v>
      </c>
      <c r="E128" s="6">
        <f>E127*E125</f>
        <v>1489.125</v>
      </c>
      <c r="F128" s="6">
        <f>F127*F125</f>
        <v>1921.2149999999999</v>
      </c>
      <c r="G128" s="6">
        <f>G127*G125</f>
        <v>2754.8639999999996</v>
      </c>
      <c r="H128" s="1"/>
      <c r="I128" s="6">
        <f>I125*I127</f>
        <v>6373.2839999999997</v>
      </c>
      <c r="J128" s="6">
        <f>J125*J127</f>
        <v>0</v>
      </c>
      <c r="K128" s="6">
        <f>K125*K127</f>
        <v>0</v>
      </c>
      <c r="L128" s="1"/>
      <c r="M128" s="4">
        <f>SUM(I128:K128)-SUM(E128:G128)</f>
        <v>208.07999999999993</v>
      </c>
      <c r="N128" s="4">
        <f>M128/D125</f>
        <v>1.3871999999999995</v>
      </c>
      <c r="O128" s="3">
        <f>M128/SUM(I128:J128)</f>
        <v>3.2648788285599688E-2</v>
      </c>
      <c r="P128" s="1"/>
      <c r="Q128" s="4">
        <v>0</v>
      </c>
      <c r="R128" s="5">
        <f>Q128/M128*D125</f>
        <v>0</v>
      </c>
    </row>
    <row r="130" spans="3:18" x14ac:dyDescent="0.25">
      <c r="C130" t="s">
        <v>73</v>
      </c>
      <c r="D130">
        <v>80</v>
      </c>
      <c r="E130" s="7">
        <v>2.4</v>
      </c>
      <c r="F130" s="7"/>
      <c r="G130" s="7"/>
      <c r="I130" s="7">
        <v>1.2</v>
      </c>
      <c r="J130" s="7"/>
      <c r="K130" s="7"/>
    </row>
    <row r="131" spans="3:18" x14ac:dyDescent="0.25">
      <c r="C131" s="2" t="s">
        <v>45</v>
      </c>
      <c r="E131" s="4" t="s">
        <v>32</v>
      </c>
      <c r="I131" s="4" t="s">
        <v>36</v>
      </c>
    </row>
    <row r="132" spans="3:18" x14ac:dyDescent="0.25">
      <c r="C132" s="2" t="s">
        <v>10</v>
      </c>
      <c r="E132" s="4">
        <f>IF(NOT(ISBLANK(E131)),VLOOKUP(E131,$T$5:$V$34,3,FALSE),0)</f>
        <v>387.21000000000004</v>
      </c>
      <c r="F132" s="4">
        <f>IF(NOT(ISBLANK(F131)),VLOOKUP(F131,$T$5:$V$34,3,FALSE),0)</f>
        <v>0</v>
      </c>
      <c r="G132" s="4">
        <f>IF(NOT(ISBLANK(G131)),VLOOKUP(G131,$T$5:$V$34,3,FALSE),0)</f>
        <v>0</v>
      </c>
      <c r="I132" s="4">
        <f>IF(NOT(ISBLANK(I131)),VLOOKUP(I131,$T$5:$V$34,2,FALSE),0)</f>
        <v>1446.58</v>
      </c>
      <c r="J132" s="4">
        <f>IF(NOT(ISBLANK(J131)),VLOOKUP(J131,$T$5:$V$34,2,FALSE),0)</f>
        <v>0</v>
      </c>
      <c r="K132" s="4">
        <f>IF(NOT(ISBLANK(K131)),VLOOKUP(K131,$T$5:$V$34,2,FALSE),0)</f>
        <v>0</v>
      </c>
    </row>
    <row r="133" spans="3:18" x14ac:dyDescent="0.25">
      <c r="C133" s="2" t="s">
        <v>9</v>
      </c>
      <c r="E133" s="6">
        <f>E132*E130</f>
        <v>929.30400000000009</v>
      </c>
      <c r="F133" s="6">
        <f>F132*F130</f>
        <v>0</v>
      </c>
      <c r="G133" s="6">
        <f>G132*G130</f>
        <v>0</v>
      </c>
      <c r="H133" s="1"/>
      <c r="I133" s="6">
        <f>I130*I132</f>
        <v>1735.896</v>
      </c>
      <c r="J133" s="6">
        <f>J130*J132</f>
        <v>0</v>
      </c>
      <c r="K133" s="6">
        <f>K130*K132</f>
        <v>0</v>
      </c>
      <c r="L133" s="1"/>
      <c r="M133" s="4">
        <f>SUM(I133:K133)-SUM(E133:G133)</f>
        <v>806.59199999999987</v>
      </c>
      <c r="N133" s="4">
        <f>M133/D130</f>
        <v>10.082399999999998</v>
      </c>
      <c r="O133" s="3">
        <f>M133/SUM(I133:J133)</f>
        <v>0.46465456455916709</v>
      </c>
      <c r="P133" s="1"/>
      <c r="Q133" s="4">
        <v>49231</v>
      </c>
      <c r="R133" s="5">
        <f>Q133/M133*D130</f>
        <v>4882.8651908275815</v>
      </c>
    </row>
    <row r="135" spans="3:18" x14ac:dyDescent="0.25">
      <c r="C135" t="s">
        <v>74</v>
      </c>
      <c r="D135">
        <v>150</v>
      </c>
      <c r="E135" s="7">
        <v>1.5</v>
      </c>
      <c r="F135" s="7">
        <v>2.2999999999999998</v>
      </c>
      <c r="G135" s="7">
        <v>1.5</v>
      </c>
      <c r="I135" s="7">
        <v>4.5</v>
      </c>
      <c r="J135" s="7"/>
      <c r="K135" s="7"/>
    </row>
    <row r="136" spans="3:18" x14ac:dyDescent="0.25">
      <c r="C136" s="2" t="s">
        <v>45</v>
      </c>
      <c r="E136" s="4" t="s">
        <v>41</v>
      </c>
      <c r="F136" s="4" t="s">
        <v>43</v>
      </c>
      <c r="G136" s="4" t="s">
        <v>42</v>
      </c>
      <c r="I136" s="4" t="s">
        <v>44</v>
      </c>
    </row>
    <row r="137" spans="3:18" x14ac:dyDescent="0.25">
      <c r="C137" s="2" t="s">
        <v>10</v>
      </c>
      <c r="E137" s="4">
        <f>IF(NOT(ISBLANK(E136)),VLOOKUP(E136,$T$5:$V$34,3,FALSE),0)</f>
        <v>1874.76</v>
      </c>
      <c r="F137" s="4">
        <f>IF(NOT(ISBLANK(F136)),VLOOKUP(F136,$T$5:$V$34,3,FALSE),0)</f>
        <v>992.75</v>
      </c>
      <c r="G137" s="4">
        <f>IF(NOT(ISBLANK(G136)),VLOOKUP(G136,$T$5:$V$34,3,FALSE),0)</f>
        <v>2002.01</v>
      </c>
      <c r="I137" s="4">
        <f>IF(NOT(ISBLANK(I136)),VLOOKUP(I136,$T$5:$V$34,2,FALSE),0)</f>
        <v>1866.41</v>
      </c>
      <c r="J137" s="4">
        <f>IF(NOT(ISBLANK(J136)),VLOOKUP(J136,$T$5:$V$34,2,FALSE),0)</f>
        <v>0</v>
      </c>
      <c r="K137" s="4">
        <f>IF(NOT(ISBLANK(K136)),VLOOKUP(K136,$T$5:$V$34,2,FALSE),0)</f>
        <v>0</v>
      </c>
    </row>
    <row r="138" spans="3:18" x14ac:dyDescent="0.25">
      <c r="C138" s="2" t="s">
        <v>9</v>
      </c>
      <c r="E138" s="6">
        <f>E137*E135</f>
        <v>2812.14</v>
      </c>
      <c r="F138" s="6">
        <f>F137*F135</f>
        <v>2283.3249999999998</v>
      </c>
      <c r="G138" s="6">
        <f>G137*G135</f>
        <v>3003.0149999999999</v>
      </c>
      <c r="H138" s="1"/>
      <c r="I138" s="6">
        <f>I135*I137</f>
        <v>8398.8450000000012</v>
      </c>
      <c r="J138" s="6">
        <f>J135*J137</f>
        <v>0</v>
      </c>
      <c r="K138" s="6">
        <f>K135*K137</f>
        <v>0</v>
      </c>
      <c r="L138" s="1"/>
      <c r="M138" s="4">
        <f>SUM(I138:K138)-SUM(E138:G138)</f>
        <v>300.3650000000016</v>
      </c>
      <c r="N138" s="4">
        <f>M138/D135</f>
        <v>2.0024333333333439</v>
      </c>
      <c r="O138" s="3">
        <f>M138/SUM(I138:J138)</f>
        <v>3.5762655460364078E-2</v>
      </c>
      <c r="P138" s="1"/>
      <c r="Q138" s="4">
        <v>0</v>
      </c>
      <c r="R138" s="5">
        <f>Q138/M138*D135</f>
        <v>0</v>
      </c>
    </row>
    <row r="139" spans="3:18" x14ac:dyDescent="0.25">
      <c r="E139" s="7"/>
      <c r="F139" s="7"/>
      <c r="G139" s="7"/>
      <c r="I139" s="7"/>
      <c r="J139" s="7"/>
      <c r="K139" s="7"/>
    </row>
    <row r="140" spans="3:18" x14ac:dyDescent="0.25">
      <c r="C140" s="2"/>
    </row>
    <row r="141" spans="3:18" x14ac:dyDescent="0.25">
      <c r="C141" s="2"/>
    </row>
    <row r="142" spans="3:18" x14ac:dyDescent="0.25">
      <c r="C142" s="2"/>
      <c r="E142" s="6"/>
      <c r="F142" s="6"/>
      <c r="G142" s="6"/>
      <c r="H142" s="1"/>
      <c r="I142" s="6"/>
      <c r="J142" s="6"/>
      <c r="K142" s="6"/>
      <c r="L142" s="1"/>
      <c r="P142" s="1"/>
    </row>
    <row r="144" spans="3:18" x14ac:dyDescent="0.25">
      <c r="E144" s="7"/>
      <c r="F144" s="7"/>
      <c r="G144" s="7"/>
      <c r="I144" s="7"/>
      <c r="J144" s="7"/>
      <c r="K144" s="7"/>
    </row>
    <row r="145" spans="3:16" x14ac:dyDescent="0.25">
      <c r="C145" s="2"/>
    </row>
    <row r="146" spans="3:16" x14ac:dyDescent="0.25">
      <c r="C146" s="2"/>
    </row>
    <row r="147" spans="3:16" x14ac:dyDescent="0.25">
      <c r="C147" s="2"/>
      <c r="E147" s="6"/>
      <c r="F147" s="6"/>
      <c r="G147" s="6"/>
      <c r="H147" s="1"/>
      <c r="I147" s="6"/>
      <c r="J147" s="6"/>
      <c r="K147" s="6"/>
      <c r="L147" s="1"/>
      <c r="P147" s="1"/>
    </row>
    <row r="149" spans="3:16" x14ac:dyDescent="0.25">
      <c r="E149" s="7"/>
      <c r="F149" s="7"/>
      <c r="G149" s="7"/>
      <c r="I149" s="7"/>
      <c r="J149" s="7"/>
      <c r="K149" s="7"/>
    </row>
    <row r="150" spans="3:16" x14ac:dyDescent="0.25">
      <c r="C150" s="2"/>
    </row>
    <row r="151" spans="3:16" x14ac:dyDescent="0.25">
      <c r="C151" s="2"/>
    </row>
    <row r="152" spans="3:16" x14ac:dyDescent="0.25">
      <c r="C152" s="2"/>
      <c r="E152" s="6"/>
      <c r="F152" s="6"/>
      <c r="G152" s="6"/>
      <c r="H152" s="1"/>
      <c r="I152" s="6"/>
      <c r="J152" s="6"/>
      <c r="K152" s="6"/>
      <c r="L152" s="1"/>
      <c r="P152" s="1"/>
    </row>
    <row r="154" spans="3:16" x14ac:dyDescent="0.25">
      <c r="E154" s="7"/>
      <c r="F154" s="7"/>
      <c r="G154" s="7"/>
      <c r="I154" s="7"/>
      <c r="J154" s="7"/>
      <c r="K154" s="7"/>
    </row>
    <row r="155" spans="3:16" x14ac:dyDescent="0.25">
      <c r="C155" s="2"/>
    </row>
    <row r="156" spans="3:16" x14ac:dyDescent="0.25">
      <c r="C156" s="2"/>
    </row>
    <row r="157" spans="3:16" x14ac:dyDescent="0.25">
      <c r="C157" s="2"/>
      <c r="E157" s="6"/>
      <c r="F157" s="6"/>
      <c r="G157" s="6"/>
      <c r="H157" s="1"/>
      <c r="I157" s="6"/>
      <c r="J157" s="6"/>
      <c r="K157" s="6"/>
      <c r="L157" s="1"/>
      <c r="P157" s="1"/>
    </row>
    <row r="158" spans="3:16" x14ac:dyDescent="0.25">
      <c r="E158" s="7"/>
      <c r="F158" s="7"/>
      <c r="G158" s="7"/>
      <c r="I158" s="7"/>
      <c r="J158" s="7"/>
      <c r="K158" s="7"/>
    </row>
    <row r="159" spans="3:16" x14ac:dyDescent="0.25">
      <c r="C159" s="2"/>
    </row>
    <row r="160" spans="3:16" x14ac:dyDescent="0.25">
      <c r="C160" s="2"/>
    </row>
    <row r="161" spans="3:16" x14ac:dyDescent="0.25">
      <c r="C161" s="2"/>
      <c r="E161" s="6"/>
      <c r="F161" s="6"/>
      <c r="G161" s="6"/>
      <c r="H161" s="1"/>
      <c r="I161" s="6"/>
      <c r="J161" s="6"/>
      <c r="K161" s="6"/>
      <c r="L161" s="1"/>
      <c r="P161" s="1"/>
    </row>
    <row r="163" spans="3:16" x14ac:dyDescent="0.25">
      <c r="E163" s="7"/>
      <c r="F163" s="7"/>
      <c r="G163" s="7"/>
      <c r="I163" s="7"/>
      <c r="J163" s="7"/>
      <c r="K163" s="7"/>
    </row>
    <row r="164" spans="3:16" x14ac:dyDescent="0.25">
      <c r="C164" s="2"/>
    </row>
    <row r="165" spans="3:16" x14ac:dyDescent="0.25">
      <c r="C165" s="2"/>
    </row>
    <row r="166" spans="3:16" x14ac:dyDescent="0.25">
      <c r="C166" s="2"/>
      <c r="E166" s="6"/>
      <c r="F166" s="6"/>
      <c r="G166" s="6"/>
      <c r="H166" s="1"/>
      <c r="I166" s="6"/>
      <c r="J166" s="6"/>
      <c r="K166" s="6"/>
      <c r="L166" s="1"/>
      <c r="P166" s="1"/>
    </row>
    <row r="168" spans="3:16" x14ac:dyDescent="0.25">
      <c r="E168" s="7"/>
      <c r="F168" s="7"/>
      <c r="G168" s="7"/>
      <c r="I168" s="7"/>
      <c r="J168" s="7"/>
      <c r="K168" s="7"/>
    </row>
    <row r="169" spans="3:16" x14ac:dyDescent="0.25">
      <c r="C169" s="2"/>
    </row>
    <row r="170" spans="3:16" x14ac:dyDescent="0.25">
      <c r="C170" s="2"/>
    </row>
    <row r="171" spans="3:16" x14ac:dyDescent="0.25">
      <c r="C171" s="2"/>
      <c r="E171" s="6"/>
      <c r="F171" s="6"/>
      <c r="G171" s="6"/>
      <c r="H171" s="1"/>
      <c r="I171" s="6"/>
      <c r="J171" s="6"/>
      <c r="K171" s="6"/>
      <c r="L171" s="1"/>
      <c r="P171" s="1"/>
    </row>
    <row r="173" spans="3:16" x14ac:dyDescent="0.25">
      <c r="E173" s="7"/>
      <c r="F173" s="7"/>
      <c r="G173" s="7"/>
      <c r="I173" s="7"/>
      <c r="J173" s="7"/>
      <c r="K173" s="7"/>
    </row>
    <row r="174" spans="3:16" x14ac:dyDescent="0.25">
      <c r="C174" s="2"/>
    </row>
    <row r="175" spans="3:16" x14ac:dyDescent="0.25">
      <c r="C175" s="2"/>
    </row>
    <row r="176" spans="3:16" x14ac:dyDescent="0.25">
      <c r="C176" s="2"/>
      <c r="E176" s="6"/>
      <c r="F176" s="6"/>
      <c r="G176" s="6"/>
      <c r="H176" s="1"/>
      <c r="I176" s="6"/>
      <c r="J176" s="6"/>
      <c r="K176" s="6"/>
      <c r="L176" s="1"/>
      <c r="P176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EE04-7A42-4589-975B-6E762EC84F57}">
  <dimension ref="A4:Y213"/>
  <sheetViews>
    <sheetView workbookViewId="0">
      <selection activeCell="J3" sqref="J3"/>
    </sheetView>
  </sheetViews>
  <sheetFormatPr defaultRowHeight="15" x14ac:dyDescent="0.25"/>
  <cols>
    <col min="1" max="1" width="16.85546875" bestFit="1" customWidth="1"/>
    <col min="3" max="3" width="11.140625" style="4" bestFit="1" customWidth="1"/>
    <col min="4" max="5" width="10.7109375" style="4" bestFit="1" customWidth="1"/>
    <col min="6" max="6" width="3.28515625" customWidth="1"/>
    <col min="7" max="8" width="11.42578125" style="4" bestFit="1" customWidth="1"/>
    <col min="9" max="9" width="3.42578125" customWidth="1"/>
    <col min="10" max="10" width="24.42578125" customWidth="1"/>
    <col min="11" max="11" width="11.85546875" style="4" bestFit="1" customWidth="1"/>
    <col min="12" max="12" width="14" style="4" bestFit="1" customWidth="1"/>
    <col min="13" max="13" width="15.7109375" style="4" bestFit="1" customWidth="1"/>
    <col min="14" max="14" width="9.85546875" style="3" bestFit="1" customWidth="1"/>
    <col min="15" max="15" width="3.42578125" customWidth="1"/>
    <col min="16" max="16" width="11.140625" style="4" bestFit="1" customWidth="1"/>
    <col min="17" max="17" width="17.5703125" style="5" bestFit="1" customWidth="1"/>
    <col min="19" max="19" width="10.5703125" bestFit="1" customWidth="1"/>
    <col min="20" max="21" width="9.140625" style="4"/>
  </cols>
  <sheetData>
    <row r="4" spans="1:25" x14ac:dyDescent="0.25">
      <c r="B4" t="s">
        <v>1</v>
      </c>
      <c r="C4" s="4" t="s">
        <v>6</v>
      </c>
      <c r="D4" s="4" t="s">
        <v>7</v>
      </c>
      <c r="E4" s="4" t="s">
        <v>46</v>
      </c>
      <c r="G4" s="4" t="s">
        <v>2</v>
      </c>
      <c r="H4" s="4" t="s">
        <v>3</v>
      </c>
      <c r="K4" s="4" t="s">
        <v>11</v>
      </c>
      <c r="L4" s="4" t="s">
        <v>75</v>
      </c>
      <c r="M4" s="4" t="s">
        <v>52</v>
      </c>
      <c r="N4" s="3" t="s">
        <v>12</v>
      </c>
      <c r="P4" s="4" t="s">
        <v>48</v>
      </c>
      <c r="Q4" s="5" t="s">
        <v>49</v>
      </c>
      <c r="X4" s="4"/>
      <c r="Y4" s="4"/>
    </row>
    <row r="5" spans="1:25" x14ac:dyDescent="0.25">
      <c r="A5" t="s">
        <v>0</v>
      </c>
      <c r="B5" s="5">
        <v>30</v>
      </c>
      <c r="C5" s="5"/>
      <c r="D5" s="5"/>
      <c r="E5" s="5"/>
      <c r="F5" s="5"/>
      <c r="G5" s="5">
        <f>6.3*B5</f>
        <v>189</v>
      </c>
      <c r="H5" s="5"/>
      <c r="J5" t="str">
        <f>A5</f>
        <v>Woodcutting post</v>
      </c>
      <c r="K5" s="4">
        <f>VLOOKUP($J5,$J$40:$Q$175,2,FALSE)</f>
        <v>1134</v>
      </c>
      <c r="L5" s="4">
        <f>VLOOKUP($J5,$J$40:$Q$175,3,FALSE)</f>
        <v>37.799999999999997</v>
      </c>
      <c r="M5" s="4">
        <f>VLOOKUP($J5,$J$40:$Q$175,4,FALSE)</f>
        <v>37.799999999999997</v>
      </c>
      <c r="N5" s="3">
        <f>VLOOKUP($J5,$J$40:$Q$175,5,FALSE)</f>
        <v>1</v>
      </c>
      <c r="P5" s="4">
        <f>VLOOKUP($J5,$J$40:$Q$175,7,FALSE)</f>
        <v>4157</v>
      </c>
      <c r="Q5" s="7">
        <f>VLOOKUP($J5,$J$40:$Q$175,8,FALSE)</f>
        <v>109.97354497354497</v>
      </c>
      <c r="X5" s="4"/>
      <c r="Y5" s="4"/>
    </row>
    <row r="6" spans="1:25" x14ac:dyDescent="0.25">
      <c r="A6" t="s">
        <v>47</v>
      </c>
      <c r="B6" s="5">
        <v>20</v>
      </c>
      <c r="C6" s="5">
        <v>180</v>
      </c>
      <c r="D6" s="5"/>
      <c r="E6" s="5"/>
      <c r="F6" s="5"/>
      <c r="G6" s="5">
        <v>140</v>
      </c>
      <c r="H6" s="5"/>
      <c r="J6" t="str">
        <f t="shared" ref="J6:J32" si="0">A6</f>
        <v>Sawmill</v>
      </c>
      <c r="K6" s="4">
        <f>VLOOKUP($J6,$J$40:$Q$175,2,FALSE)</f>
        <v>1059.4000000000005</v>
      </c>
      <c r="L6" s="4">
        <f>VLOOKUP($J6,$J$40:$Q$175,3,FALSE)</f>
        <v>207.41000000000003</v>
      </c>
      <c r="M6" s="4">
        <f>VLOOKUP($J6,$J$40:$Q$175,4,FALSE)</f>
        <v>52.970000000000027</v>
      </c>
      <c r="N6" s="3">
        <f>VLOOKUP($J6,$J$40:$Q$175,5,FALSE)</f>
        <v>0.25538787908008304</v>
      </c>
      <c r="P6" s="4">
        <f>VLOOKUP($J6,$J$40:$Q$175,7,FALSE)</f>
        <v>4157</v>
      </c>
      <c r="Q6" s="7">
        <f>VLOOKUP($J6,$J$40:$Q$175,8,FALSE)</f>
        <v>78.478383990938227</v>
      </c>
      <c r="X6" s="4"/>
      <c r="Y6" s="4"/>
    </row>
    <row r="7" spans="1:25" x14ac:dyDescent="0.25">
      <c r="A7" t="s">
        <v>90</v>
      </c>
      <c r="B7" s="5">
        <v>1</v>
      </c>
      <c r="C7" s="5"/>
      <c r="D7" s="5"/>
      <c r="E7" s="5"/>
      <c r="G7">
        <v>2.5</v>
      </c>
      <c r="H7" s="5"/>
      <c r="J7" t="str">
        <f t="shared" si="0"/>
        <v>Farm</v>
      </c>
      <c r="K7" s="4">
        <f>VLOOKUP($J7,$J$40:$Q$175,2,FALSE)</f>
        <v>28.125</v>
      </c>
      <c r="L7" s="4">
        <f>VLOOKUP($J7,$J$40:$Q$175,3,FALSE)</f>
        <v>28.125</v>
      </c>
      <c r="M7" s="4">
        <f>VLOOKUP($J7,$J$40:$Q$175,4,FALSE)</f>
        <v>28.125</v>
      </c>
      <c r="N7" s="3">
        <f>VLOOKUP($J7,$J$40:$Q$175,5,FALSE)</f>
        <v>1</v>
      </c>
      <c r="P7" s="4">
        <f>VLOOKUP($J7,$J$40:$Q$175,7,FALSE)</f>
        <v>4157</v>
      </c>
      <c r="Q7" s="7">
        <f>VLOOKUP($J7,$J$40:$Q$175,8,FALSE)</f>
        <v>147.80444444444444</v>
      </c>
      <c r="X7" s="4"/>
      <c r="Y7" s="4"/>
    </row>
    <row r="8" spans="1:25" x14ac:dyDescent="0.25">
      <c r="A8" t="s">
        <v>50</v>
      </c>
      <c r="B8" s="5">
        <v>250</v>
      </c>
      <c r="C8" s="5"/>
      <c r="D8" s="5"/>
      <c r="E8" s="5"/>
      <c r="F8" s="5"/>
      <c r="G8" s="5">
        <f>4*B8</f>
        <v>1000</v>
      </c>
      <c r="H8" s="5"/>
      <c r="J8" t="str">
        <f t="shared" si="0"/>
        <v>Iron Mine</v>
      </c>
      <c r="K8" s="4">
        <f>VLOOKUP($J8,$J$40:$Q$175,2,FALSE)</f>
        <v>5000</v>
      </c>
      <c r="L8" s="4">
        <f>VLOOKUP($J8,$J$40:$Q$175,3,FALSE)</f>
        <v>20</v>
      </c>
      <c r="M8" s="4">
        <f>VLOOKUP($J8,$J$40:$Q$175,4,FALSE)</f>
        <v>20</v>
      </c>
      <c r="N8" s="3">
        <f>VLOOKUP($J8,$J$40:$Q$175,5,FALSE)</f>
        <v>1</v>
      </c>
      <c r="P8" s="4">
        <f>VLOOKUP($J8,$J$40:$Q$175,7,FALSE)</f>
        <v>4157</v>
      </c>
      <c r="Q8" s="7">
        <f>VLOOKUP($J8,$J$40:$Q$175,8,FALSE)</f>
        <v>207.85</v>
      </c>
      <c r="X8" s="4"/>
      <c r="Y8" s="4"/>
    </row>
    <row r="9" spans="1:25" x14ac:dyDescent="0.25">
      <c r="A9" t="s">
        <v>51</v>
      </c>
      <c r="B9" s="5">
        <v>15</v>
      </c>
      <c r="C9" s="5">
        <v>225</v>
      </c>
      <c r="D9" s="5"/>
      <c r="E9" s="5"/>
      <c r="F9" s="5"/>
      <c r="G9" s="5">
        <v>105</v>
      </c>
      <c r="H9" s="5"/>
      <c r="J9" t="str">
        <f t="shared" si="0"/>
        <v>Iron Processing</v>
      </c>
      <c r="K9" s="4">
        <f>VLOOKUP($J9,$J$40:$Q$175,2,FALSE)</f>
        <v>-209.40000000000009</v>
      </c>
      <c r="L9" s="4">
        <f>VLOOKUP($J9,$J$40:$Q$175,3,FALSE)</f>
        <v>226.94000000000003</v>
      </c>
      <c r="M9" s="4">
        <f>VLOOKUP($J9,$J$40:$Q$175,4,FALSE)</f>
        <v>-13.960000000000006</v>
      </c>
      <c r="N9" s="3">
        <f>VLOOKUP($J9,$J$40:$Q$175,5,FALSE)</f>
        <v>-6.1514056578831432E-2</v>
      </c>
      <c r="P9" s="4">
        <f>VLOOKUP($J9,$J$40:$Q$175,7,FALSE)</f>
        <v>4157</v>
      </c>
      <c r="Q9" s="7">
        <f>VLOOKUP($J9,$J$40:$Q$175,8,FALSE)</f>
        <v>-297.77936962750704</v>
      </c>
      <c r="X9" s="4"/>
      <c r="Y9" s="4"/>
    </row>
    <row r="10" spans="1:25" x14ac:dyDescent="0.25">
      <c r="A10" t="s">
        <v>53</v>
      </c>
      <c r="B10" s="5">
        <v>500</v>
      </c>
      <c r="C10" s="5">
        <v>375</v>
      </c>
      <c r="D10" s="5">
        <v>200</v>
      </c>
      <c r="E10" s="5">
        <v>11</v>
      </c>
      <c r="F10" s="5"/>
      <c r="G10" s="5">
        <v>40</v>
      </c>
      <c r="H10" s="5"/>
      <c r="J10" t="str">
        <f t="shared" si="0"/>
        <v>Steel Mill</v>
      </c>
      <c r="K10" s="4">
        <f>VLOOKUP($J10,$J$40:$Q$175,2,FALSE)</f>
        <v>-7311.3499999999985</v>
      </c>
      <c r="L10" s="4">
        <f>VLOOKUP($J10,$J$40:$Q$175,3,FALSE)</f>
        <v>91.583199999999991</v>
      </c>
      <c r="M10" s="4">
        <f>VLOOKUP($J10,$J$40:$Q$175,4,FALSE)</f>
        <v>-14.622699999999996</v>
      </c>
      <c r="N10" s="3">
        <f>VLOOKUP($J10,$J$40:$Q$175,5,FALSE)</f>
        <v>-0.15966574655613691</v>
      </c>
      <c r="P10" s="4">
        <f>VLOOKUP($J10,$J$40:$Q$175,7,FALSE)</f>
        <v>4157</v>
      </c>
      <c r="Q10" s="7">
        <f>VLOOKUP($J10,$J$40:$Q$175,8,FALSE)</f>
        <v>-284.28402415422602</v>
      </c>
      <c r="X10" s="4"/>
      <c r="Y10" s="4"/>
    </row>
    <row r="11" spans="1:25" x14ac:dyDescent="0.25">
      <c r="A11" t="s">
        <v>54</v>
      </c>
      <c r="B11" s="5">
        <v>220</v>
      </c>
      <c r="C11" s="5">
        <v>0</v>
      </c>
      <c r="D11" s="5"/>
      <c r="E11" s="5"/>
      <c r="F11" s="5"/>
      <c r="G11" s="5">
        <f>4.2*B11</f>
        <v>924</v>
      </c>
      <c r="H11" s="5"/>
      <c r="J11" t="str">
        <f t="shared" si="0"/>
        <v>Coal Mine</v>
      </c>
      <c r="K11" s="4">
        <f>VLOOKUP($J11,$J$40:$Q$175,2,FALSE)</f>
        <v>9350.8799999999992</v>
      </c>
      <c r="L11" s="4">
        <f>VLOOKUP($J11,$J$40:$Q$175,3,FALSE)</f>
        <v>42.503999999999998</v>
      </c>
      <c r="M11" s="4">
        <f>VLOOKUP($J11,$J$40:$Q$175,4,FALSE)</f>
        <v>42.503999999999998</v>
      </c>
      <c r="N11" s="3">
        <f>VLOOKUP($J11,$J$40:$Q$175,5,FALSE)</f>
        <v>1</v>
      </c>
      <c r="P11" s="4">
        <f>VLOOKUP($J11,$J$40:$Q$175,7,FALSE)</f>
        <v>4157</v>
      </c>
      <c r="Q11" s="7">
        <f>VLOOKUP($J11,$J$40:$Q$175,8,FALSE)</f>
        <v>97.802559759081504</v>
      </c>
    </row>
    <row r="12" spans="1:25" x14ac:dyDescent="0.25">
      <c r="A12" t="s">
        <v>55</v>
      </c>
      <c r="B12" s="5">
        <v>15</v>
      </c>
      <c r="C12" s="5">
        <v>210</v>
      </c>
      <c r="D12" s="5"/>
      <c r="E12" s="5"/>
      <c r="F12" s="5"/>
      <c r="G12" s="5">
        <v>120</v>
      </c>
      <c r="H12" s="5"/>
      <c r="J12" t="str">
        <f t="shared" si="0"/>
        <v>Coal Processing</v>
      </c>
      <c r="K12" s="4">
        <f>VLOOKUP($J12,$J$40:$Q$175,2,FALSE)</f>
        <v>6971.7000000000007</v>
      </c>
      <c r="L12" s="4">
        <f>VLOOKUP($J12,$J$40:$Q$175,3,FALSE)</f>
        <v>768.72</v>
      </c>
      <c r="M12" s="4">
        <f>VLOOKUP($J12,$J$40:$Q$175,4,FALSE)</f>
        <v>464.78000000000003</v>
      </c>
      <c r="N12" s="3">
        <f>VLOOKUP($J12,$J$40:$Q$175,5,FALSE)</f>
        <v>0.60461546466853988</v>
      </c>
      <c r="P12" s="4">
        <f>VLOOKUP($J12,$J$40:$Q$175,7,FALSE)</f>
        <v>4157</v>
      </c>
      <c r="Q12" s="7">
        <f>VLOOKUP($J12,$J$40:$Q$175,8,FALSE)</f>
        <v>8.9440165239468126</v>
      </c>
    </row>
    <row r="13" spans="1:25" x14ac:dyDescent="0.25">
      <c r="A13" t="s">
        <v>57</v>
      </c>
      <c r="B13" s="5">
        <v>75</v>
      </c>
      <c r="C13" s="5">
        <v>33</v>
      </c>
      <c r="D13" s="5"/>
      <c r="E13" s="5"/>
      <c r="F13" s="5"/>
      <c r="G13" s="5">
        <v>51</v>
      </c>
      <c r="H13" s="5"/>
      <c r="J13" t="str">
        <f t="shared" si="0"/>
        <v>Brick Factory</v>
      </c>
      <c r="K13" s="4">
        <f>VLOOKUP($J13,$J$40:$Q$175,2,FALSE)</f>
        <v>-316.26000000000022</v>
      </c>
      <c r="L13" s="4">
        <f>VLOOKUP($J13,$J$40:$Q$175,3,FALSE)</f>
        <v>47.144399999999997</v>
      </c>
      <c r="M13" s="4">
        <f>VLOOKUP($J13,$J$40:$Q$175,4,FALSE)</f>
        <v>-4.2168000000000028</v>
      </c>
      <c r="N13" s="3">
        <f>VLOOKUP($J13,$J$40:$Q$175,5,FALSE)</f>
        <v>-8.9444345457785082E-2</v>
      </c>
      <c r="P13" s="4">
        <f>VLOOKUP($J13,$J$40:$Q$175,7,FALSE)</f>
        <v>4157</v>
      </c>
      <c r="Q13" s="7">
        <f>VLOOKUP($J13,$J$40:$Q$175,8,FALSE)</f>
        <v>-985.81863024094037</v>
      </c>
    </row>
    <row r="14" spans="1:25" x14ac:dyDescent="0.25">
      <c r="A14" t="s">
        <v>58</v>
      </c>
      <c r="B14" s="5">
        <v>20</v>
      </c>
      <c r="C14" s="5">
        <v>24</v>
      </c>
      <c r="D14" s="5"/>
      <c r="E14" s="5"/>
      <c r="F14" s="5"/>
      <c r="G14" s="5">
        <v>1400</v>
      </c>
      <c r="H14" s="5"/>
      <c r="J14" t="str">
        <f t="shared" si="0"/>
        <v>Coal Power</v>
      </c>
      <c r="K14" s="4">
        <f>VLOOKUP($J14,$J$40:$Q$175,2,FALSE)</f>
        <v>3792.48</v>
      </c>
      <c r="L14" s="4">
        <f>VLOOKUP($J14,$J$40:$Q$175,3,FALSE)</f>
        <v>329.7</v>
      </c>
      <c r="M14" s="4">
        <f>VLOOKUP($J14,$J$40:$Q$175,4,FALSE)</f>
        <v>189.624</v>
      </c>
      <c r="N14" s="3">
        <f>VLOOKUP($J14,$J$40:$Q$175,5,FALSE)</f>
        <v>0.57514103730664246</v>
      </c>
      <c r="P14" s="4">
        <f>VLOOKUP($J14,$J$40:$Q$175,7,FALSE)</f>
        <v>4157</v>
      </c>
      <c r="Q14" s="7">
        <f>VLOOKUP($J14,$J$40:$Q$175,8,FALSE)</f>
        <v>21.922330506686919</v>
      </c>
    </row>
    <row r="15" spans="1:25" x14ac:dyDescent="0.25">
      <c r="A15" t="s">
        <v>59</v>
      </c>
      <c r="B15" s="5">
        <v>40</v>
      </c>
      <c r="C15" s="5">
        <v>0</v>
      </c>
      <c r="D15" s="5"/>
      <c r="E15" s="5"/>
      <c r="F15" s="5"/>
      <c r="G15" s="5">
        <f>3.5*40</f>
        <v>140</v>
      </c>
      <c r="H15" s="5"/>
      <c r="J15" t="str">
        <f t="shared" si="0"/>
        <v>Quarry</v>
      </c>
      <c r="K15" s="4">
        <f>VLOOKUP($J15,$J$40:$Q$175,2,FALSE)</f>
        <v>63.000000000000028</v>
      </c>
      <c r="L15" s="4">
        <f>VLOOKUP($J15,$J$40:$Q$175,3,FALSE)</f>
        <v>1.5750000000000006</v>
      </c>
      <c r="M15" s="4">
        <f>VLOOKUP($J15,$J$40:$Q$175,4,FALSE)</f>
        <v>1.5750000000000006</v>
      </c>
      <c r="N15" s="3">
        <f>VLOOKUP($J15,$J$40:$Q$175,5,FALSE)</f>
        <v>1</v>
      </c>
      <c r="P15" s="4">
        <f>VLOOKUP($J15,$J$40:$Q$175,7,FALSE)</f>
        <v>4157</v>
      </c>
      <c r="Q15" s="7">
        <f>VLOOKUP($J15,$J$40:$Q$175,8,FALSE)</f>
        <v>2639.3650793650786</v>
      </c>
    </row>
    <row r="16" spans="1:25" x14ac:dyDescent="0.25">
      <c r="A16" t="s">
        <v>60</v>
      </c>
      <c r="B16" s="5">
        <v>15</v>
      </c>
      <c r="C16" s="5">
        <v>120</v>
      </c>
      <c r="D16" s="5">
        <v>24</v>
      </c>
      <c r="E16" s="5"/>
      <c r="F16" s="5"/>
      <c r="G16" s="5">
        <v>82</v>
      </c>
      <c r="H16" s="5"/>
      <c r="J16" t="str">
        <f t="shared" si="0"/>
        <v>Gravel Plant</v>
      </c>
      <c r="K16" s="4">
        <f>VLOOKUP($J16,$J$40:$Q$175,2,FALSE)</f>
        <v>-921.57999999999981</v>
      </c>
      <c r="L16" s="4">
        <f>VLOOKUP($J16,$J$40:$Q$175,3,FALSE)</f>
        <v>35.041333333333334</v>
      </c>
      <c r="M16" s="4">
        <f>VLOOKUP($J16,$J$40:$Q$175,4,FALSE)</f>
        <v>-61.438666666666656</v>
      </c>
      <c r="N16" s="3">
        <f>VLOOKUP($J16,$J$40:$Q$175,5,FALSE)</f>
        <v>-1.7533198888931163</v>
      </c>
      <c r="P16" s="4">
        <f>VLOOKUP($J16,$J$40:$Q$175,7,FALSE)</f>
        <v>4157</v>
      </c>
      <c r="Q16" s="7">
        <f>VLOOKUP($J16,$J$40:$Q$175,8,FALSE)</f>
        <v>-67.660973545432853</v>
      </c>
    </row>
    <row r="17" spans="1:17" x14ac:dyDescent="0.25">
      <c r="A17" t="s">
        <v>61</v>
      </c>
      <c r="B17" s="5">
        <v>30</v>
      </c>
      <c r="C17" s="5">
        <v>22</v>
      </c>
      <c r="D17" s="5">
        <v>210</v>
      </c>
      <c r="E17" s="5">
        <v>6</v>
      </c>
      <c r="F17" s="5"/>
      <c r="G17" s="5">
        <v>81</v>
      </c>
      <c r="H17" s="5"/>
      <c r="J17" t="str">
        <f t="shared" si="0"/>
        <v>Cement Plant</v>
      </c>
      <c r="K17" s="4">
        <f>VLOOKUP($J17,$J$40:$Q$175,2,FALSE)</f>
        <v>-687.29999999999927</v>
      </c>
      <c r="L17" s="4">
        <f>VLOOKUP($J17,$J$40:$Q$175,3,FALSE)</f>
        <v>187.00200000000001</v>
      </c>
      <c r="M17" s="4">
        <f>VLOOKUP($J17,$J$40:$Q$175,4,FALSE)</f>
        <v>-22.909999999999975</v>
      </c>
      <c r="N17" s="3">
        <f>VLOOKUP($J17,$J$40:$Q$175,5,FALSE)</f>
        <v>-0.12251205869455928</v>
      </c>
      <c r="P17" s="4">
        <f>VLOOKUP($J17,$J$40:$Q$175,7,FALSE)</f>
        <v>4157</v>
      </c>
      <c r="Q17" s="7">
        <f>VLOOKUP($J17,$J$40:$Q$175,8,FALSE)</f>
        <v>-181.44914884330007</v>
      </c>
    </row>
    <row r="18" spans="1:17" x14ac:dyDescent="0.25">
      <c r="A18" t="s">
        <v>62</v>
      </c>
      <c r="B18" s="5">
        <v>5</v>
      </c>
      <c r="C18" s="5">
        <v>135</v>
      </c>
      <c r="D18" s="5">
        <v>30</v>
      </c>
      <c r="E18" s="5">
        <v>12</v>
      </c>
      <c r="F18" s="5"/>
      <c r="G18" s="5">
        <v>175</v>
      </c>
      <c r="H18" s="5"/>
      <c r="J18" t="str">
        <f t="shared" si="0"/>
        <v>Concrete Plant</v>
      </c>
      <c r="K18" s="4">
        <f>VLOOKUP($J18,$J$40:$Q$175,2,FALSE)</f>
        <v>-3055.3999999999996</v>
      </c>
      <c r="L18" s="4">
        <f>VLOOKUP($J18,$J$40:$Q$175,3,FALSE)</f>
        <v>399.35</v>
      </c>
      <c r="M18" s="4">
        <f>VLOOKUP($J18,$J$40:$Q$175,4,FALSE)</f>
        <v>-611.07999999999993</v>
      </c>
      <c r="N18" s="3">
        <f>VLOOKUP($J18,$J$40:$Q$175,5,FALSE)</f>
        <v>-1.5301865531488668</v>
      </c>
      <c r="P18" s="4">
        <f>VLOOKUP($J18,$J$40:$Q$175,7,FALSE)</f>
        <v>4157</v>
      </c>
      <c r="Q18" s="7">
        <f>VLOOKUP($J18,$J$40:$Q$175,8,FALSE)</f>
        <v>-6.8027099561432225</v>
      </c>
    </row>
    <row r="19" spans="1:17" x14ac:dyDescent="0.25">
      <c r="A19" t="s">
        <v>63</v>
      </c>
      <c r="B19" s="5">
        <v>1</v>
      </c>
      <c r="C19" s="5">
        <v>3.9</v>
      </c>
      <c r="D19" s="5"/>
      <c r="E19" s="5"/>
      <c r="F19" s="5"/>
      <c r="G19" s="5">
        <v>7</v>
      </c>
      <c r="H19" s="5"/>
      <c r="J19" t="str">
        <f t="shared" si="0"/>
        <v>Oil rig</v>
      </c>
      <c r="K19" s="4">
        <f>VLOOKUP($J19,$J$40:$Q$175,2,FALSE)</f>
        <v>329.86</v>
      </c>
      <c r="L19" s="4">
        <f>VLOOKUP($J19,$J$40:$Q$175,3,FALSE)</f>
        <v>350.14000000000004</v>
      </c>
      <c r="M19" s="4">
        <f>VLOOKUP($J19,$J$40:$Q$175,4,FALSE)</f>
        <v>329.86</v>
      </c>
      <c r="N19" s="3">
        <f>VLOOKUP($J19,$J$40:$Q$175,5,FALSE)</f>
        <v>0.94208031073284959</v>
      </c>
      <c r="P19" s="4">
        <f>VLOOKUP($J19,$J$40:$Q$175,7,FALSE)</f>
        <v>4157</v>
      </c>
      <c r="Q19" s="7">
        <f>VLOOKUP($J19,$J$40:$Q$175,8,FALSE)</f>
        <v>12.602316134117505</v>
      </c>
    </row>
    <row r="20" spans="1:17" x14ac:dyDescent="0.25">
      <c r="A20" t="s">
        <v>64</v>
      </c>
      <c r="B20" s="5">
        <v>500</v>
      </c>
      <c r="C20" s="5">
        <v>250</v>
      </c>
      <c r="D20" s="5">
        <v>12</v>
      </c>
      <c r="E20" s="5"/>
      <c r="F20" s="5"/>
      <c r="G20" s="5">
        <v>125</v>
      </c>
      <c r="H20" s="5">
        <v>75</v>
      </c>
      <c r="J20" t="str">
        <f t="shared" si="0"/>
        <v>Refinery</v>
      </c>
      <c r="K20" s="4">
        <f>VLOOKUP($J20,$J$40:$Q$175,2,FALSE)</f>
        <v>21259.1</v>
      </c>
      <c r="L20" s="4">
        <f>VLOOKUP($J20,$J$40:$Q$175,3,FALSE)</f>
        <v>75.548000000000002</v>
      </c>
      <c r="M20" s="4">
        <f>VLOOKUP($J20,$J$40:$Q$175,4,FALSE)</f>
        <v>42.5182</v>
      </c>
      <c r="N20" s="3">
        <f>VLOOKUP($J20,$J$40:$Q$175,5,FALSE)</f>
        <v>0.56279716206914809</v>
      </c>
      <c r="P20" s="4">
        <f>VLOOKUP($J20,$J$40:$Q$175,7,FALSE)</f>
        <v>4157</v>
      </c>
      <c r="Q20" s="7">
        <f>VLOOKUP($J20,$J$40:$Q$175,8,FALSE)</f>
        <v>97.769896185633442</v>
      </c>
    </row>
    <row r="21" spans="1:17" x14ac:dyDescent="0.25">
      <c r="A21" t="s">
        <v>39</v>
      </c>
      <c r="B21" s="5">
        <v>5</v>
      </c>
      <c r="C21" s="5">
        <v>125</v>
      </c>
      <c r="D21" s="5">
        <v>20</v>
      </c>
      <c r="E21" s="5">
        <v>15</v>
      </c>
      <c r="F21" s="5"/>
      <c r="G21" s="5">
        <v>145</v>
      </c>
      <c r="H21" s="5"/>
      <c r="J21" t="str">
        <f t="shared" si="0"/>
        <v>Asphalt</v>
      </c>
      <c r="K21" s="4">
        <f>VLOOKUP($J21,$J$40:$Q$175,2,FALSE)</f>
        <v>-2581.1500000000005</v>
      </c>
      <c r="L21" s="4">
        <f>VLOOKUP($J21,$J$40:$Q$175,3,FALSE)</f>
        <v>990.06000000000006</v>
      </c>
      <c r="M21" s="4">
        <f>VLOOKUP($J21,$J$40:$Q$175,4,FALSE)</f>
        <v>-516.23000000000013</v>
      </c>
      <c r="N21" s="3">
        <f>VLOOKUP($J21,$J$40:$Q$175,5,FALSE)</f>
        <v>-0.52141284366604057</v>
      </c>
      <c r="P21" s="4">
        <f>VLOOKUP($J21,$J$40:$Q$175,7,FALSE)</f>
        <v>4157</v>
      </c>
      <c r="Q21" s="7">
        <f>VLOOKUP($J21,$J$40:$Q$175,8,FALSE)</f>
        <v>-8.0526122077368605</v>
      </c>
    </row>
    <row r="22" spans="1:17" x14ac:dyDescent="0.25">
      <c r="A22" t="s">
        <v>65</v>
      </c>
      <c r="B22" s="5">
        <v>50</v>
      </c>
      <c r="C22" s="5">
        <v>10</v>
      </c>
      <c r="D22" s="5"/>
      <c r="E22" s="5"/>
      <c r="F22" s="5"/>
      <c r="G22" s="5">
        <v>5</v>
      </c>
      <c r="H22" s="5"/>
      <c r="J22" t="str">
        <f t="shared" si="0"/>
        <v>Livestock Farm</v>
      </c>
      <c r="K22" s="4">
        <f>VLOOKUP($J22,$J$40:$Q$175,2,FALSE)</f>
        <v>7857.5</v>
      </c>
      <c r="L22" s="4">
        <f>VLOOKUP($J22,$J$40:$Q$175,3,FALSE)</f>
        <v>161.74</v>
      </c>
      <c r="M22" s="4">
        <f>VLOOKUP($J22,$J$40:$Q$175,4,FALSE)</f>
        <v>157.15</v>
      </c>
      <c r="N22" s="3">
        <f>VLOOKUP($J22,$J$40:$Q$175,5,FALSE)</f>
        <v>0.97162112031655745</v>
      </c>
      <c r="P22" s="4">
        <f>VLOOKUP($J22,$J$40:$Q$175,7,FALSE)</f>
        <v>4157</v>
      </c>
      <c r="Q22" s="7">
        <f>VLOOKUP($J22,$J$40:$Q$175,8,FALSE)</f>
        <v>26.452433980273625</v>
      </c>
    </row>
    <row r="23" spans="1:17" x14ac:dyDescent="0.25">
      <c r="A23" t="s">
        <v>66</v>
      </c>
      <c r="B23" s="5">
        <v>50</v>
      </c>
      <c r="C23" s="5">
        <v>250</v>
      </c>
      <c r="D23" s="5"/>
      <c r="E23" s="5"/>
      <c r="F23" s="5"/>
      <c r="G23" s="5">
        <v>125</v>
      </c>
      <c r="H23" s="5"/>
      <c r="J23" t="str">
        <f t="shared" si="0"/>
        <v>Slaughterhouse</v>
      </c>
      <c r="K23" s="4">
        <f>VLOOKUP($J23,$J$40:$Q$175,2,FALSE)</f>
        <v>-156076.25</v>
      </c>
      <c r="L23" s="4">
        <f>VLOOKUP($J23,$J$40:$Q$175,3,FALSE)</f>
        <v>5869.3249999999998</v>
      </c>
      <c r="M23" s="4">
        <f>VLOOKUP($J23,$J$40:$Q$175,4,FALSE)</f>
        <v>-3121.5250000000001</v>
      </c>
      <c r="N23" s="3">
        <f>VLOOKUP($J23,$J$40:$Q$175,5,FALSE)</f>
        <v>-0.5318371362976152</v>
      </c>
      <c r="P23" s="4">
        <f>VLOOKUP($J23,$J$40:$Q$175,7,FALSE)</f>
        <v>4157</v>
      </c>
      <c r="Q23" s="7">
        <f>VLOOKUP($J23,$J$40:$Q$175,8,FALSE)</f>
        <v>-1.3317208736114559</v>
      </c>
    </row>
    <row r="24" spans="1:17" x14ac:dyDescent="0.25">
      <c r="A24" t="s">
        <v>8</v>
      </c>
      <c r="B24" s="5">
        <v>170</v>
      </c>
      <c r="C24" s="5">
        <v>42</v>
      </c>
      <c r="D24" s="5"/>
      <c r="E24" s="5"/>
      <c r="F24" s="5"/>
      <c r="G24" s="5">
        <v>20</v>
      </c>
      <c r="H24" s="5"/>
      <c r="J24" t="str">
        <f t="shared" si="0"/>
        <v>Food Factory</v>
      </c>
      <c r="K24" s="4">
        <f>VLOOKUP($J24,$J$40:$Q$175,2,FALSE)</f>
        <v>1300.6999999999998</v>
      </c>
      <c r="L24" s="4">
        <f>VLOOKUP($J24,$J$40:$Q$175,3,FALSE)</f>
        <v>13.321176470588235</v>
      </c>
      <c r="M24" s="4">
        <f>VLOOKUP($J24,$J$40:$Q$175,4,FALSE)</f>
        <v>7.6511764705882346</v>
      </c>
      <c r="N24" s="3">
        <f>VLOOKUP($J24,$J$40:$Q$175,5,FALSE)</f>
        <v>0.57436191821955307</v>
      </c>
      <c r="P24" s="4">
        <f>VLOOKUP($J24,$J$40:$Q$175,7,FALSE)</f>
        <v>4157</v>
      </c>
      <c r="Q24" s="7">
        <f>VLOOKUP($J24,$J$40:$Q$175,8,FALSE)</f>
        <v>543.31513800261405</v>
      </c>
    </row>
    <row r="25" spans="1:17" x14ac:dyDescent="0.25">
      <c r="A25" t="s">
        <v>67</v>
      </c>
      <c r="B25" s="5">
        <v>100</v>
      </c>
      <c r="C25" s="5">
        <v>30</v>
      </c>
      <c r="D25" s="5">
        <v>10</v>
      </c>
      <c r="E25" s="5"/>
      <c r="F25" s="5"/>
      <c r="G25" s="5">
        <v>6</v>
      </c>
      <c r="H25" s="5"/>
      <c r="J25" t="str">
        <f t="shared" si="0"/>
        <v>Distillery</v>
      </c>
      <c r="K25" s="4">
        <f>VLOOKUP($J25,$J$40:$Q$175,2,FALSE)</f>
        <v>674.83999999999992</v>
      </c>
      <c r="L25" s="4">
        <f>VLOOKUP($J25,$J$40:$Q$175,3,FALSE)</f>
        <v>14.1534</v>
      </c>
      <c r="M25" s="4">
        <f>VLOOKUP($J25,$J$40:$Q$175,4,FALSE)</f>
        <v>6.7483999999999993</v>
      </c>
      <c r="N25" s="3">
        <f>VLOOKUP($J25,$J$40:$Q$175,5,FALSE)</f>
        <v>0.47680416013113452</v>
      </c>
      <c r="P25" s="4">
        <f>VLOOKUP($J25,$J$40:$Q$175,7,FALSE)</f>
        <v>4157</v>
      </c>
      <c r="Q25" s="7">
        <f>VLOOKUP($J25,$J$40:$Q$175,8,FALSE)</f>
        <v>615.99786616086783</v>
      </c>
    </row>
    <row r="26" spans="1:17" x14ac:dyDescent="0.25">
      <c r="A26" t="s">
        <v>69</v>
      </c>
      <c r="B26" s="5">
        <v>50</v>
      </c>
      <c r="C26" s="5">
        <v>0.5</v>
      </c>
      <c r="D26" s="5">
        <v>0.5</v>
      </c>
      <c r="E26" s="5">
        <v>1</v>
      </c>
      <c r="F26" s="5"/>
      <c r="G26" s="5">
        <v>0.5</v>
      </c>
      <c r="H26" s="5"/>
      <c r="J26" t="str">
        <f t="shared" si="0"/>
        <v>Chemical Plant</v>
      </c>
      <c r="K26" s="4">
        <f>VLOOKUP($J26,$J$40:$Q$175,2,FALSE)</f>
        <v>948.32500000000005</v>
      </c>
      <c r="L26" s="4">
        <f>VLOOKUP($J26,$J$40:$Q$175,3,FALSE)</f>
        <v>20.630399999999998</v>
      </c>
      <c r="M26" s="4">
        <f>VLOOKUP($J26,$J$40:$Q$175,4,FALSE)</f>
        <v>18.9665</v>
      </c>
      <c r="N26" s="3">
        <f>VLOOKUP($J26,$J$40:$Q$175,5,FALSE)</f>
        <v>0.91934717698154189</v>
      </c>
      <c r="P26" s="4">
        <f>VLOOKUP($J26,$J$40:$Q$175,7,FALSE)</f>
        <v>4157</v>
      </c>
      <c r="Q26" s="7">
        <f>VLOOKUP($J26,$J$40:$Q$175,8,FALSE)</f>
        <v>219.17591542983681</v>
      </c>
    </row>
    <row r="27" spans="1:17" x14ac:dyDescent="0.25">
      <c r="A27" t="s">
        <v>70</v>
      </c>
      <c r="B27" s="5">
        <v>100</v>
      </c>
      <c r="C27" s="5">
        <v>10</v>
      </c>
      <c r="D27" s="5">
        <v>35</v>
      </c>
      <c r="E27" s="5">
        <v>13</v>
      </c>
      <c r="F27" s="5"/>
      <c r="G27" s="5">
        <v>15</v>
      </c>
      <c r="H27" s="5"/>
      <c r="J27" t="str">
        <f t="shared" si="0"/>
        <v>Plastics Factory</v>
      </c>
      <c r="K27" s="4">
        <f>VLOOKUP($J27,$J$40:$Q$175,2,FALSE)</f>
        <v>-12015.849999999997</v>
      </c>
      <c r="L27" s="4">
        <f>VLOOKUP($J27,$J$40:$Q$175,3,FALSE)</f>
        <v>132.624</v>
      </c>
      <c r="M27" s="4">
        <f>VLOOKUP($J27,$J$40:$Q$175,4,FALSE)</f>
        <v>-120.15849999999996</v>
      </c>
      <c r="N27" s="3">
        <f>VLOOKUP($J27,$J$40:$Q$175,5,FALSE)</f>
        <v>-0.90600871637109404</v>
      </c>
      <c r="P27" s="4">
        <f>VLOOKUP($J27,$J$40:$Q$175,7,FALSE)</f>
        <v>4157</v>
      </c>
      <c r="Q27" s="7">
        <f>VLOOKUP($J27,$J$40:$Q$175,8,FALSE)</f>
        <v>-34.595971154766417</v>
      </c>
    </row>
    <row r="28" spans="1:17" x14ac:dyDescent="0.25">
      <c r="A28" t="s">
        <v>32</v>
      </c>
      <c r="B28" s="5">
        <v>100</v>
      </c>
      <c r="C28" s="5">
        <v>20</v>
      </c>
      <c r="D28" s="5">
        <v>0.5</v>
      </c>
      <c r="E28" s="5">
        <v>10</v>
      </c>
      <c r="F28" s="5"/>
      <c r="G28" s="5">
        <v>5</v>
      </c>
      <c r="H28" s="5"/>
      <c r="J28" t="str">
        <f t="shared" si="0"/>
        <v>Fabric</v>
      </c>
      <c r="K28" s="4">
        <f>VLOOKUP($J28,$J$40:$Q$175,2,FALSE)</f>
        <v>25.085000000000036</v>
      </c>
      <c r="L28" s="4">
        <f>VLOOKUP($J28,$J$40:$Q$175,3,FALSE)</f>
        <v>16.814499999999999</v>
      </c>
      <c r="M28" s="4">
        <f>VLOOKUP($J28,$J$40:$Q$175,4,FALSE)</f>
        <v>0.25085000000000035</v>
      </c>
      <c r="N28" s="3">
        <f>VLOOKUP($J28,$J$40:$Q$175,5,FALSE)</f>
        <v>1.4918671384816697E-2</v>
      </c>
      <c r="P28" s="4">
        <f>VLOOKUP($J28,$J$40:$Q$175,7,FALSE)</f>
        <v>4157</v>
      </c>
      <c r="Q28" s="7">
        <f>VLOOKUP($J28,$J$40:$Q$175,8,FALSE)</f>
        <v>16571.656368347594</v>
      </c>
    </row>
    <row r="29" spans="1:17" x14ac:dyDescent="0.25">
      <c r="A29" t="s">
        <v>71</v>
      </c>
      <c r="B29" s="5">
        <v>150</v>
      </c>
      <c r="C29" s="5">
        <v>22</v>
      </c>
      <c r="D29" s="5"/>
      <c r="E29" s="5"/>
      <c r="F29" s="5"/>
      <c r="G29" s="5">
        <v>15</v>
      </c>
      <c r="H29" s="5"/>
      <c r="J29" t="str">
        <f t="shared" si="0"/>
        <v>Mech Component</v>
      </c>
      <c r="K29" s="4">
        <f>VLOOKUP($J29,$J$40:$Q$175,2,FALSE)</f>
        <v>-1108.3899999999994</v>
      </c>
      <c r="L29" s="4">
        <f>VLOOKUP($J29,$J$40:$Q$175,3,FALSE)</f>
        <v>179.73099999999999</v>
      </c>
      <c r="M29" s="4">
        <f>VLOOKUP($J29,$J$40:$Q$175,4,FALSE)</f>
        <v>-7.3892666666666624</v>
      </c>
      <c r="N29" s="3">
        <f>VLOOKUP($J29,$J$40:$Q$175,5,FALSE)</f>
        <v>-4.1112922460046754E-2</v>
      </c>
      <c r="P29" s="4">
        <f>VLOOKUP($J29,$J$40:$Q$175,7,FALSE)</f>
        <v>4157</v>
      </c>
      <c r="Q29" s="7">
        <f>VLOOKUP($J29,$J$40:$Q$175,8,FALSE)</f>
        <v>-562.57274064183218</v>
      </c>
    </row>
    <row r="30" spans="1:17" x14ac:dyDescent="0.25">
      <c r="A30" t="s">
        <v>72</v>
      </c>
      <c r="B30" s="5">
        <v>150</v>
      </c>
      <c r="C30" s="5">
        <v>1.5</v>
      </c>
      <c r="D30" s="5">
        <v>1.5</v>
      </c>
      <c r="E30" s="5">
        <v>1.2</v>
      </c>
      <c r="F30" s="5"/>
      <c r="G30" s="5">
        <v>3.8</v>
      </c>
      <c r="H30" s="5"/>
      <c r="J30" t="str">
        <f t="shared" si="0"/>
        <v>Elect Comp</v>
      </c>
      <c r="K30" s="4">
        <f>VLOOKUP($J30,$J$40:$Q$175,2,FALSE)</f>
        <v>248.00000000000091</v>
      </c>
      <c r="L30" s="4">
        <f>VLOOKUP($J30,$J$40:$Q$175,3,FALSE)</f>
        <v>42.614973333333332</v>
      </c>
      <c r="M30" s="4">
        <f>VLOOKUP($J30,$J$40:$Q$175,4,FALSE)</f>
        <v>1.6533333333333393</v>
      </c>
      <c r="N30" s="3">
        <f>VLOOKUP($J30,$J$40:$Q$175,5,FALSE)</f>
        <v>3.8797004996366048E-2</v>
      </c>
      <c r="P30" s="4">
        <f>VLOOKUP($J30,$J$40:$Q$175,7,FALSE)</f>
        <v>4157</v>
      </c>
      <c r="Q30" s="7">
        <f>VLOOKUP($J30,$J$40:$Q$175,8,FALSE)</f>
        <v>2514.3145161290231</v>
      </c>
    </row>
    <row r="31" spans="1:17" x14ac:dyDescent="0.25">
      <c r="A31" t="s">
        <v>73</v>
      </c>
      <c r="B31" s="5">
        <v>80</v>
      </c>
      <c r="C31" s="5">
        <v>2.4</v>
      </c>
      <c r="D31" s="5"/>
      <c r="E31" s="5"/>
      <c r="F31" s="5"/>
      <c r="G31" s="5">
        <v>1.2</v>
      </c>
      <c r="H31" s="5"/>
      <c r="J31" t="str">
        <f t="shared" si="0"/>
        <v>Clothing Factory</v>
      </c>
      <c r="K31" s="4">
        <f>VLOOKUP($J31,$J$40:$Q$183,2,FALSE)</f>
        <v>824.5559999999997</v>
      </c>
      <c r="L31" s="4">
        <f>VLOOKUP($J31,$J$40:$Q$175,3,FALSE)</f>
        <v>21.773549999999997</v>
      </c>
      <c r="M31" s="4">
        <f>VLOOKUP($J31,$J$40:$Q$175,4,FALSE)</f>
        <v>10.306949999999997</v>
      </c>
      <c r="N31" s="3">
        <f>VLOOKUP($J31,$J$40:$Q$175,5,FALSE)</f>
        <v>0.47337021294184906</v>
      </c>
      <c r="P31" s="4">
        <f>VLOOKUP($J31,$J$40:$Q$175,7,FALSE)</f>
        <v>4157</v>
      </c>
      <c r="Q31" s="7">
        <f>VLOOKUP($J31,$J$40:$Q$175,8,FALSE)</f>
        <v>403.32008984229105</v>
      </c>
    </row>
    <row r="32" spans="1:17" x14ac:dyDescent="0.25">
      <c r="A32" t="s">
        <v>74</v>
      </c>
      <c r="B32" s="5">
        <v>150</v>
      </c>
      <c r="C32" s="5">
        <v>1.5</v>
      </c>
      <c r="D32" s="5">
        <v>2.2999999999999998</v>
      </c>
      <c r="E32" s="5">
        <v>1.5</v>
      </c>
      <c r="F32" s="5"/>
      <c r="G32" s="5">
        <v>4.5</v>
      </c>
      <c r="H32" s="7"/>
      <c r="J32" t="str">
        <f t="shared" si="0"/>
        <v>Elect Assembly</v>
      </c>
      <c r="K32" s="4">
        <f>VLOOKUP($J32,$J$40:$Q$180,2,FALSE)</f>
        <v>349.26700000000164</v>
      </c>
      <c r="L32" s="4">
        <f>VLOOKUP($J32,$J$40:$Q$180,3,FALSE)</f>
        <v>56.14200000000001</v>
      </c>
      <c r="M32" s="4">
        <f>VLOOKUP($J32,$J$40:$Q$180,4,FALSE)</f>
        <v>2.3284466666666774</v>
      </c>
      <c r="N32" s="3">
        <f>VLOOKUP($J32,$J$40:$Q$180,5,FALSE)</f>
        <v>4.1474237944260577E-2</v>
      </c>
      <c r="P32" s="4">
        <f>VLOOKUP($J32,$J$40:$Q$175,7,FALSE)</f>
        <v>4157</v>
      </c>
      <c r="Q32" s="7">
        <f>VLOOKUP($J32,$J$40:$Q$180,8,FALSE)</f>
        <v>1785.3103785928733</v>
      </c>
    </row>
    <row r="33" spans="1:25" x14ac:dyDescent="0.25">
      <c r="A33" t="s">
        <v>76</v>
      </c>
      <c r="B33" s="5">
        <v>65</v>
      </c>
      <c r="C33" s="7">
        <f>0.15*65</f>
        <v>9.75</v>
      </c>
      <c r="D33" s="7">
        <v>65</v>
      </c>
      <c r="E33" s="7"/>
      <c r="G33" s="7">
        <f>1.1*B33</f>
        <v>71.5</v>
      </c>
      <c r="J33" t="str">
        <f>A33</f>
        <v>Prefab Factory</v>
      </c>
      <c r="K33" s="4">
        <f>VLOOKUP($J33,$J$40:$Q$180,2,FALSE)</f>
        <v>-280.53999999999974</v>
      </c>
      <c r="L33" s="4">
        <f>VLOOKUP($J33,$J$40:$Q$180,3,FALSE)</f>
        <v>26.356000000000002</v>
      </c>
      <c r="M33" s="4">
        <f>VLOOKUP($J33,$J$40:$Q$180,4,FALSE)</f>
        <v>-4.3159999999999963</v>
      </c>
      <c r="N33" s="3">
        <f>VLOOKUP($J33,$J$40:$Q$180,5,FALSE)</f>
        <v>-0.16375777811504005</v>
      </c>
      <c r="P33" s="4">
        <f>VLOOKUP($J33,$J$40:$Q$180,7,FALSE)</f>
        <v>4157</v>
      </c>
      <c r="Q33" s="7">
        <f>VLOOKUP($J33,$J$40:$Q$180,8,FALSE)</f>
        <v>-963.16033364226223</v>
      </c>
      <c r="S33" t="s">
        <v>68</v>
      </c>
      <c r="T33" s="4">
        <v>5</v>
      </c>
    </row>
    <row r="34" spans="1:25" x14ac:dyDescent="0.25">
      <c r="K34" s="4">
        <f>SUM(K5:K33)</f>
        <v>-123346.65199999997</v>
      </c>
      <c r="L34" s="4">
        <f>SUM(L5:L33)</f>
        <v>10393.868933137253</v>
      </c>
      <c r="M34" s="4">
        <f>SUM(M5:M33)</f>
        <v>-3083.0350768627445</v>
      </c>
    </row>
    <row r="35" spans="1:25" x14ac:dyDescent="0.25">
      <c r="T35" s="4" t="s">
        <v>13</v>
      </c>
      <c r="U35" s="4" t="s">
        <v>14</v>
      </c>
      <c r="X35" s="4" t="s">
        <v>13</v>
      </c>
      <c r="Y35" s="4" t="s">
        <v>14</v>
      </c>
    </row>
    <row r="36" spans="1:25" x14ac:dyDescent="0.25">
      <c r="B36" t="s">
        <v>1</v>
      </c>
      <c r="C36" s="4" t="s">
        <v>6</v>
      </c>
      <c r="D36" s="4" t="s">
        <v>7</v>
      </c>
      <c r="E36" s="4" t="s">
        <v>46</v>
      </c>
      <c r="G36" s="4" t="s">
        <v>2</v>
      </c>
      <c r="H36" s="4" t="s">
        <v>3</v>
      </c>
      <c r="K36" s="4" t="s">
        <v>11</v>
      </c>
      <c r="L36" s="4" t="s">
        <v>75</v>
      </c>
      <c r="M36" s="4" t="s">
        <v>52</v>
      </c>
      <c r="N36" s="3" t="s">
        <v>12</v>
      </c>
      <c r="P36" s="4" t="s">
        <v>48</v>
      </c>
      <c r="Q36" s="5" t="s">
        <v>49</v>
      </c>
      <c r="S36" t="s">
        <v>15</v>
      </c>
      <c r="T36" s="4">
        <v>4.71</v>
      </c>
      <c r="U36" s="4">
        <v>5.2</v>
      </c>
      <c r="W36" t="s">
        <v>15</v>
      </c>
      <c r="X36" s="4">
        <v>4.71</v>
      </c>
      <c r="Y36" s="4">
        <v>5.2</v>
      </c>
    </row>
    <row r="37" spans="1:25" x14ac:dyDescent="0.25">
      <c r="A37" t="s">
        <v>0</v>
      </c>
      <c r="B37">
        <f>VLOOKUP($A37,$A$5:$H$31,2,FALSE)</f>
        <v>30</v>
      </c>
      <c r="C37">
        <f>VLOOKUP($A37,$A$5:$H$31,3,FALSE)</f>
        <v>0</v>
      </c>
      <c r="D37">
        <f>VLOOKUP($A37,$A$5:$H$31,4,FALSE)</f>
        <v>0</v>
      </c>
      <c r="E37">
        <f>VLOOKUP($A37,$A$5:$H$31,5,FALSE)</f>
        <v>0</v>
      </c>
      <c r="G37">
        <f>VLOOKUP($A37,$A$5:$H$31,7,FALSE)</f>
        <v>189</v>
      </c>
      <c r="H37">
        <f>VLOOKUP($A37,$A$5:$H$31,8,FALSE)</f>
        <v>0</v>
      </c>
      <c r="S37" t="s">
        <v>16</v>
      </c>
      <c r="T37" s="4">
        <f>X37-$T$33</f>
        <v>6.41</v>
      </c>
      <c r="U37" s="4">
        <f>Y37+$T$33</f>
        <v>17.61</v>
      </c>
      <c r="W37" t="s">
        <v>16</v>
      </c>
      <c r="X37" s="4">
        <v>11.41</v>
      </c>
      <c r="Y37" s="4">
        <v>12.61</v>
      </c>
    </row>
    <row r="38" spans="1:25" x14ac:dyDescent="0.25">
      <c r="A38" s="2" t="s">
        <v>45</v>
      </c>
      <c r="G38" s="4" t="s">
        <v>22</v>
      </c>
      <c r="S38" t="s">
        <v>17</v>
      </c>
      <c r="T38" s="4">
        <f t="shared" ref="T38:T65" si="1">X38-$T$33</f>
        <v>0.45000000000000018</v>
      </c>
      <c r="U38" s="4">
        <f t="shared" ref="U38:U65" si="2">Y38+$T$33</f>
        <v>11.02</v>
      </c>
      <c r="W38" t="s">
        <v>17</v>
      </c>
      <c r="X38" s="4">
        <v>5.45</v>
      </c>
      <c r="Y38" s="4">
        <v>6.02</v>
      </c>
    </row>
    <row r="39" spans="1:25" x14ac:dyDescent="0.25">
      <c r="A39" s="2" t="s">
        <v>10</v>
      </c>
      <c r="C39" s="4">
        <f>IF(NOT(ISBLANK(C38)),VLOOKUP(C38,$S$36:$U$65,3,FALSE),0)</f>
        <v>0</v>
      </c>
      <c r="D39" s="4">
        <f>IF(NOT(ISBLANK(D38)),VLOOKUP(D38,$S$36:$U$65,3,FALSE),0)</f>
        <v>0</v>
      </c>
      <c r="E39" s="4">
        <f>IF(NOT(ISBLANK(E38)),VLOOKUP(E38,$S$36:$U$65,3,FALSE),0)</f>
        <v>0</v>
      </c>
      <c r="G39" s="4">
        <f>IF(NOT(ISBLANK(G38)),VLOOKUP(G38,$S$36:$U$65,2,FALSE),0)</f>
        <v>6</v>
      </c>
      <c r="H39" s="4">
        <f>IF(NOT(ISBLANK(H38)),VLOOKUP(H38,$S$36:$U$65,2,FALSE),0)</f>
        <v>0</v>
      </c>
      <c r="S39" t="s">
        <v>18</v>
      </c>
      <c r="T39" s="4">
        <f t="shared" si="1"/>
        <v>11.25</v>
      </c>
      <c r="U39" s="4">
        <f t="shared" si="2"/>
        <v>22.95</v>
      </c>
      <c r="W39" t="s">
        <v>18</v>
      </c>
      <c r="X39" s="4">
        <v>16.25</v>
      </c>
      <c r="Y39" s="4">
        <v>17.95</v>
      </c>
    </row>
    <row r="40" spans="1:25" x14ac:dyDescent="0.25">
      <c r="A40" s="2" t="s">
        <v>9</v>
      </c>
      <c r="C40" s="6">
        <f>C39*C37</f>
        <v>0</v>
      </c>
      <c r="D40" s="6">
        <f>D39*D37</f>
        <v>0</v>
      </c>
      <c r="E40" s="6">
        <f>E39*E37</f>
        <v>0</v>
      </c>
      <c r="F40" s="1"/>
      <c r="G40" s="6">
        <f>G37*G39</f>
        <v>1134</v>
      </c>
      <c r="H40" s="6">
        <f>H37*H39</f>
        <v>0</v>
      </c>
      <c r="I40" s="1"/>
      <c r="J40" s="1" t="str">
        <f>A37</f>
        <v>Woodcutting post</v>
      </c>
      <c r="K40" s="4">
        <f>SUM(G40:H40)-SUM(C40:E40)</f>
        <v>1134</v>
      </c>
      <c r="L40" s="4">
        <f>SUM(G40:H40)/B37</f>
        <v>37.799999999999997</v>
      </c>
      <c r="M40" s="4">
        <f>K40/B37</f>
        <v>37.799999999999997</v>
      </c>
      <c r="N40" s="3">
        <f>K40/SUM(G40:H40)</f>
        <v>1</v>
      </c>
      <c r="O40" s="1"/>
      <c r="P40" s="4">
        <v>4157</v>
      </c>
      <c r="Q40" s="5">
        <f>P40/K40*B37</f>
        <v>109.97354497354497</v>
      </c>
      <c r="S40" t="s">
        <v>19</v>
      </c>
      <c r="T40" s="4">
        <f t="shared" si="1"/>
        <v>1144.79</v>
      </c>
      <c r="U40" s="4">
        <f t="shared" si="2"/>
        <v>1275.82</v>
      </c>
      <c r="W40" t="s">
        <v>19</v>
      </c>
      <c r="X40" s="4">
        <v>1149.79</v>
      </c>
      <c r="Y40" s="4">
        <v>1270.82</v>
      </c>
    </row>
    <row r="41" spans="1:25" x14ac:dyDescent="0.25">
      <c r="S41" t="s">
        <v>20</v>
      </c>
      <c r="T41" s="4">
        <f t="shared" si="1"/>
        <v>23.96</v>
      </c>
      <c r="U41" s="4">
        <f t="shared" si="2"/>
        <v>37.01</v>
      </c>
      <c r="W41" t="s">
        <v>20</v>
      </c>
      <c r="X41" s="4">
        <v>28.96</v>
      </c>
      <c r="Y41" s="4">
        <v>32.01</v>
      </c>
    </row>
    <row r="42" spans="1:25" x14ac:dyDescent="0.25">
      <c r="A42" t="s">
        <v>47</v>
      </c>
      <c r="B42">
        <f>VLOOKUP($A42,$A$5:$H$31,2,FALSE)</f>
        <v>20</v>
      </c>
      <c r="C42">
        <f>VLOOKUP($A42,$A$5:$H$31,3,FALSE)</f>
        <v>180</v>
      </c>
      <c r="D42">
        <f>VLOOKUP($A42,$A$5:$H$31,4,FALSE)</f>
        <v>0</v>
      </c>
      <c r="E42">
        <f>VLOOKUP($A42,$A$5:$H$31,5,FALSE)</f>
        <v>0</v>
      </c>
      <c r="G42">
        <f>VLOOKUP($A42,$A$5:$H$31,7,FALSE)</f>
        <v>140</v>
      </c>
      <c r="H42">
        <f>VLOOKUP($A42,$A$5:$H$31,8,FALSE)</f>
        <v>0</v>
      </c>
      <c r="S42" t="s">
        <v>21</v>
      </c>
      <c r="T42" s="4">
        <f t="shared" si="1"/>
        <v>69.33</v>
      </c>
      <c r="U42" s="4">
        <f t="shared" si="2"/>
        <v>87.16</v>
      </c>
      <c r="W42" t="s">
        <v>21</v>
      </c>
      <c r="X42" s="4">
        <v>74.33</v>
      </c>
      <c r="Y42" s="4">
        <v>82.16</v>
      </c>
    </row>
    <row r="43" spans="1:25" x14ac:dyDescent="0.25">
      <c r="A43" s="2" t="s">
        <v>45</v>
      </c>
      <c r="C43" s="4" t="s">
        <v>22</v>
      </c>
      <c r="G43" s="4" t="s">
        <v>30</v>
      </c>
      <c r="S43" t="s">
        <v>22</v>
      </c>
      <c r="T43" s="4">
        <f t="shared" si="1"/>
        <v>6</v>
      </c>
      <c r="U43" s="4">
        <f t="shared" si="2"/>
        <v>17.16</v>
      </c>
      <c r="W43" t="s">
        <v>22</v>
      </c>
      <c r="X43" s="4">
        <v>11</v>
      </c>
      <c r="Y43" s="4">
        <v>12.16</v>
      </c>
    </row>
    <row r="44" spans="1:25" x14ac:dyDescent="0.25">
      <c r="A44" s="2" t="s">
        <v>10</v>
      </c>
      <c r="C44" s="4">
        <f>IF(NOT(ISBLANK(C43)),VLOOKUP(C43,$S$36:$U$65,3,FALSE),0)</f>
        <v>17.16</v>
      </c>
      <c r="D44" s="4">
        <f>IF(NOT(ISBLANK(D43)),VLOOKUP(D43,$S$36:$U$65,3,FALSE),0)</f>
        <v>0</v>
      </c>
      <c r="E44" s="4">
        <f>IF(NOT(ISBLANK(E43)),VLOOKUP(E43,$S$36:$U$65,3,FALSE),0)</f>
        <v>0</v>
      </c>
      <c r="G44" s="4">
        <f>IF(NOT(ISBLANK(G43)),VLOOKUP(G43,$S$36:$U$65,2,FALSE),0)</f>
        <v>29.630000000000003</v>
      </c>
      <c r="H44" s="4">
        <f>IF(NOT(ISBLANK(H43)),VLOOKUP(H43,$S$36:$U$65,2,FALSE),0)</f>
        <v>0</v>
      </c>
      <c r="S44" t="s">
        <v>23</v>
      </c>
      <c r="T44" s="4">
        <f t="shared" si="1"/>
        <v>50.02</v>
      </c>
      <c r="U44" s="4">
        <f t="shared" si="2"/>
        <v>65.81</v>
      </c>
      <c r="W44" t="s">
        <v>23</v>
      </c>
      <c r="X44" s="4">
        <v>55.02</v>
      </c>
      <c r="Y44" s="4">
        <v>60.81</v>
      </c>
    </row>
    <row r="45" spans="1:25" x14ac:dyDescent="0.25">
      <c r="A45" s="2" t="s">
        <v>9</v>
      </c>
      <c r="C45" s="6">
        <f>C44*C42</f>
        <v>3088.8</v>
      </c>
      <c r="D45" s="6">
        <f>D44*D42</f>
        <v>0</v>
      </c>
      <c r="E45" s="6">
        <f>E44*E42</f>
        <v>0</v>
      </c>
      <c r="F45" s="1"/>
      <c r="G45" s="6">
        <f>G42*G44</f>
        <v>4148.2000000000007</v>
      </c>
      <c r="H45" s="6">
        <f>H42*H44</f>
        <v>0</v>
      </c>
      <c r="I45" s="1"/>
      <c r="J45" s="1" t="str">
        <f>A42</f>
        <v>Sawmill</v>
      </c>
      <c r="K45" s="4">
        <f>SUM(G45:H45)-SUM(C45:E45)</f>
        <v>1059.4000000000005</v>
      </c>
      <c r="L45" s="4">
        <f>SUM(G45:H45)/B42</f>
        <v>207.41000000000003</v>
      </c>
      <c r="M45" s="4">
        <f>K45/B42</f>
        <v>52.970000000000027</v>
      </c>
      <c r="N45" s="3">
        <f>K45/SUM(G45:H45)</f>
        <v>0.25538787908008304</v>
      </c>
      <c r="O45" s="1"/>
      <c r="P45" s="4">
        <v>4157</v>
      </c>
      <c r="Q45" s="5">
        <f>P45/K45*B42</f>
        <v>78.478383990938227</v>
      </c>
      <c r="S45" t="s">
        <v>24</v>
      </c>
      <c r="T45" s="4">
        <f t="shared" si="1"/>
        <v>2063.04</v>
      </c>
      <c r="U45" s="4">
        <f t="shared" si="2"/>
        <v>2290.73</v>
      </c>
      <c r="W45" t="s">
        <v>24</v>
      </c>
      <c r="X45" s="4">
        <v>2068.04</v>
      </c>
      <c r="Y45" s="4">
        <v>2285.73</v>
      </c>
    </row>
    <row r="46" spans="1:25" x14ac:dyDescent="0.25">
      <c r="S46" t="s">
        <v>25</v>
      </c>
      <c r="T46" s="4">
        <f t="shared" si="1"/>
        <v>96.09</v>
      </c>
      <c r="U46" s="4">
        <f t="shared" si="2"/>
        <v>116.73</v>
      </c>
      <c r="W46" t="s">
        <v>25</v>
      </c>
      <c r="X46" s="4">
        <v>101.09</v>
      </c>
      <c r="Y46" s="4">
        <v>111.73</v>
      </c>
    </row>
    <row r="47" spans="1:25" x14ac:dyDescent="0.25">
      <c r="A47" t="s">
        <v>90</v>
      </c>
      <c r="B47">
        <f>VLOOKUP($A47,$A$5:$H$33,2,FALSE)</f>
        <v>1</v>
      </c>
      <c r="C47">
        <f>VLOOKUP($A47,$A$5:$H$33,3,FALSE)</f>
        <v>0</v>
      </c>
      <c r="D47">
        <f>VLOOKUP($A47,$A$5:$H$33,4,FALSE)</f>
        <v>0</v>
      </c>
      <c r="E47">
        <f>VLOOKUP($A47,$A$5:$H$33,5,FALSE)</f>
        <v>0</v>
      </c>
      <c r="G47">
        <f>VLOOKUP($A47,$A$5:$H$33,7,FALSE)</f>
        <v>2.5</v>
      </c>
      <c r="H47">
        <f>VLOOKUP($A47,$A$5:$H$33,8,FALSE)</f>
        <v>0</v>
      </c>
      <c r="S47" t="s">
        <v>26</v>
      </c>
      <c r="T47" s="4">
        <f t="shared" si="1"/>
        <v>10.119999999999999</v>
      </c>
      <c r="U47" s="4">
        <f t="shared" si="2"/>
        <v>21.71</v>
      </c>
      <c r="W47" t="s">
        <v>26</v>
      </c>
      <c r="X47" s="4">
        <v>15.12</v>
      </c>
      <c r="Y47" s="4">
        <v>16.71</v>
      </c>
    </row>
    <row r="48" spans="1:25" x14ac:dyDescent="0.25">
      <c r="A48" s="2" t="s">
        <v>45</v>
      </c>
      <c r="G48" s="4" t="s">
        <v>18</v>
      </c>
      <c r="S48" t="s">
        <v>27</v>
      </c>
      <c r="T48" s="4">
        <f t="shared" si="1"/>
        <v>32.42</v>
      </c>
      <c r="U48" s="4">
        <f t="shared" si="2"/>
        <v>46.36</v>
      </c>
      <c r="W48" t="s">
        <v>27</v>
      </c>
      <c r="X48" s="4">
        <v>37.42</v>
      </c>
      <c r="Y48" s="4">
        <v>41.36</v>
      </c>
    </row>
    <row r="49" spans="1:25" x14ac:dyDescent="0.25">
      <c r="A49" s="2" t="s">
        <v>10</v>
      </c>
      <c r="C49" s="4">
        <f>IF(NOT(ISBLANK(C48)),VLOOKUP(C48,$S$41:$U$70,3,FALSE),0)</f>
        <v>0</v>
      </c>
      <c r="D49" s="4">
        <f>IF(NOT(ISBLANK(D48)),VLOOKUP(D48,$S$41:$U$70,3,FALSE),0)</f>
        <v>0</v>
      </c>
      <c r="E49" s="4">
        <f>IF(NOT(ISBLANK(E48)),VLOOKUP(E48,$S$41:$U$70,3,FALSE),0)</f>
        <v>0</v>
      </c>
      <c r="G49" s="4">
        <f>IF(NOT(ISBLANK(G48)),VLOOKUP(G48,$S$36:$U$70,2,FALSE),0)</f>
        <v>11.25</v>
      </c>
      <c r="H49" s="4">
        <f>IF(NOT(ISBLANK(H48)),VLOOKUP(H48,$S$41:$U$70,2,FALSE),0)</f>
        <v>0</v>
      </c>
      <c r="I49" s="1"/>
      <c r="J49" s="1" t="str">
        <f>A47</f>
        <v>Farm</v>
      </c>
      <c r="K49" s="4">
        <f>SUM(G50:H50)-SUM(C50:E50)</f>
        <v>28.125</v>
      </c>
      <c r="L49" s="4">
        <f>SUM(G50:H50)/B47</f>
        <v>28.125</v>
      </c>
      <c r="M49" s="4">
        <f>K49/B47</f>
        <v>28.125</v>
      </c>
      <c r="N49" s="3">
        <f>K49/SUM(G50:H50)</f>
        <v>1</v>
      </c>
      <c r="O49" s="1"/>
      <c r="P49" s="4">
        <v>4157</v>
      </c>
      <c r="Q49" s="5">
        <f>P49/K49*B47</f>
        <v>147.80444444444444</v>
      </c>
      <c r="S49" t="s">
        <v>28</v>
      </c>
      <c r="T49" s="4">
        <f t="shared" si="1"/>
        <v>5</v>
      </c>
      <c r="U49" s="4">
        <f t="shared" si="2"/>
        <v>16.060000000000002</v>
      </c>
      <c r="W49" t="s">
        <v>28</v>
      </c>
      <c r="X49" s="4">
        <v>10</v>
      </c>
      <c r="Y49" s="4">
        <v>11.06</v>
      </c>
    </row>
    <row r="50" spans="1:25" x14ac:dyDescent="0.25">
      <c r="A50" s="2" t="s">
        <v>9</v>
      </c>
      <c r="C50" s="6">
        <f>C49*C47</f>
        <v>0</v>
      </c>
      <c r="D50" s="6">
        <f>D49*D47</f>
        <v>0</v>
      </c>
      <c r="E50" s="6">
        <f>E49*E47</f>
        <v>0</v>
      </c>
      <c r="F50" s="1"/>
      <c r="G50" s="6">
        <f>G47*G49</f>
        <v>28.125</v>
      </c>
      <c r="H50" s="6">
        <f>H47*H49</f>
        <v>0</v>
      </c>
      <c r="S50" t="s">
        <v>29</v>
      </c>
      <c r="T50" s="4">
        <f t="shared" si="1"/>
        <v>228.07</v>
      </c>
      <c r="U50" s="4">
        <f t="shared" si="2"/>
        <v>262.61</v>
      </c>
      <c r="W50" t="s">
        <v>29</v>
      </c>
      <c r="X50" s="4">
        <v>233.07</v>
      </c>
      <c r="Y50" s="4">
        <v>257.61</v>
      </c>
    </row>
    <row r="51" spans="1:25" x14ac:dyDescent="0.25">
      <c r="S51" t="s">
        <v>30</v>
      </c>
      <c r="T51" s="4">
        <f t="shared" si="1"/>
        <v>29.630000000000003</v>
      </c>
      <c r="U51" s="4">
        <f t="shared" si="2"/>
        <v>43.28</v>
      </c>
      <c r="W51" t="s">
        <v>30</v>
      </c>
      <c r="X51" s="4">
        <v>34.630000000000003</v>
      </c>
      <c r="Y51" s="4">
        <v>38.28</v>
      </c>
    </row>
    <row r="52" spans="1:25" x14ac:dyDescent="0.25">
      <c r="A52" t="s">
        <v>50</v>
      </c>
      <c r="B52">
        <f>VLOOKUP($A52,$A$5:$H$31,2,FALSE)</f>
        <v>250</v>
      </c>
      <c r="C52">
        <f>VLOOKUP($A52,$A$5:$H$31,3,FALSE)</f>
        <v>0</v>
      </c>
      <c r="D52">
        <f>VLOOKUP($A52,$A$5:$H$31,4,FALSE)</f>
        <v>0</v>
      </c>
      <c r="E52">
        <f>VLOOKUP($A52,$A$5:$H$31,5,FALSE)</f>
        <v>0</v>
      </c>
      <c r="G52">
        <f>VLOOKUP($A52,$A$5:$H$31,7,FALSE)</f>
        <v>1000</v>
      </c>
      <c r="H52">
        <f>VLOOKUP($A52,$A$5:$H$31,8,FALSE)</f>
        <v>0</v>
      </c>
      <c r="S52" t="s">
        <v>31</v>
      </c>
      <c r="T52" s="4">
        <f t="shared" si="1"/>
        <v>165.35</v>
      </c>
      <c r="U52" s="4">
        <f t="shared" si="2"/>
        <v>193.28</v>
      </c>
      <c r="W52" t="s">
        <v>31</v>
      </c>
      <c r="X52" s="4">
        <v>170.35</v>
      </c>
      <c r="Y52" s="4">
        <v>188.28</v>
      </c>
    </row>
    <row r="53" spans="1:25" x14ac:dyDescent="0.25">
      <c r="A53" s="2" t="s">
        <v>45</v>
      </c>
      <c r="G53" s="4" t="s">
        <v>28</v>
      </c>
      <c r="S53" t="s">
        <v>32</v>
      </c>
      <c r="T53" s="4">
        <f t="shared" si="1"/>
        <v>336.29</v>
      </c>
      <c r="U53" s="4">
        <f t="shared" si="2"/>
        <v>382.22</v>
      </c>
      <c r="W53" t="s">
        <v>32</v>
      </c>
      <c r="X53" s="4">
        <v>341.29</v>
      </c>
      <c r="Y53" s="4">
        <v>377.22</v>
      </c>
    </row>
    <row r="54" spans="1:25" x14ac:dyDescent="0.25">
      <c r="A54" s="2" t="s">
        <v>10</v>
      </c>
      <c r="C54" s="4">
        <f>IF(NOT(ISBLANK(C53)),VLOOKUP(C53,$S$36:$U$65,3,FALSE),0)</f>
        <v>0</v>
      </c>
      <c r="D54" s="4">
        <f>IF(NOT(ISBLANK(D53)),VLOOKUP(D53,$S$36:$U$65,3,FALSE),0)</f>
        <v>0</v>
      </c>
      <c r="E54" s="4">
        <f>IF(NOT(ISBLANK(E53)),VLOOKUP(E53,$S$36:$U$65,3,FALSE),0)</f>
        <v>0</v>
      </c>
      <c r="G54" s="4">
        <f>IF(NOT(ISBLANK(G53)),VLOOKUP(G53,$S$36:$U$65,2,FALSE),0)</f>
        <v>5</v>
      </c>
      <c r="H54" s="4">
        <f>IF(NOT(ISBLANK(H53)),VLOOKUP(H53,$S$36:$U$65,2,FALSE),0)</f>
        <v>0</v>
      </c>
      <c r="S54" t="s">
        <v>33</v>
      </c>
      <c r="T54" s="4">
        <f t="shared" si="1"/>
        <v>235.89</v>
      </c>
      <c r="U54" s="4">
        <f t="shared" si="2"/>
        <v>271.25</v>
      </c>
      <c r="W54" t="s">
        <v>33</v>
      </c>
      <c r="X54" s="4">
        <v>240.89</v>
      </c>
      <c r="Y54" s="4">
        <v>266.25</v>
      </c>
    </row>
    <row r="55" spans="1:25" x14ac:dyDescent="0.25">
      <c r="A55" s="2" t="s">
        <v>9</v>
      </c>
      <c r="C55" s="6">
        <f>C54*C52</f>
        <v>0</v>
      </c>
      <c r="D55" s="6">
        <f>D54*D52</f>
        <v>0</v>
      </c>
      <c r="E55" s="6">
        <f>E54*E52</f>
        <v>0</v>
      </c>
      <c r="F55" s="1"/>
      <c r="G55" s="6">
        <f>G52*G54</f>
        <v>5000</v>
      </c>
      <c r="H55" s="6">
        <f>H52*H54</f>
        <v>0</v>
      </c>
      <c r="I55" s="1"/>
      <c r="J55" s="1" t="str">
        <f>A52</f>
        <v>Iron Mine</v>
      </c>
      <c r="K55" s="4">
        <f>SUM(G55:H55)-SUM(C55:E55)</f>
        <v>5000</v>
      </c>
      <c r="L55" s="4">
        <f>SUM(G55:H55)/B52</f>
        <v>20</v>
      </c>
      <c r="M55" s="4">
        <f>K55/B52</f>
        <v>20</v>
      </c>
      <c r="N55" s="3">
        <f>K55/SUM(G55:H55)</f>
        <v>1</v>
      </c>
      <c r="O55" s="1"/>
      <c r="P55" s="4">
        <v>4157</v>
      </c>
      <c r="Q55" s="5">
        <f>P55/K55*B52</f>
        <v>207.85</v>
      </c>
      <c r="S55" t="s">
        <v>34</v>
      </c>
      <c r="T55" s="4">
        <f t="shared" si="1"/>
        <v>69.260000000000005</v>
      </c>
      <c r="U55" s="4">
        <f t="shared" si="2"/>
        <v>87.08</v>
      </c>
      <c r="W55" t="s">
        <v>34</v>
      </c>
      <c r="X55" s="4">
        <v>74.260000000000005</v>
      </c>
      <c r="Y55" s="4">
        <v>82.08</v>
      </c>
    </row>
    <row r="56" spans="1:25" x14ac:dyDescent="0.25">
      <c r="S56" t="s">
        <v>35</v>
      </c>
      <c r="T56" s="4">
        <f t="shared" si="1"/>
        <v>113.23</v>
      </c>
      <c r="U56" s="4">
        <f t="shared" si="2"/>
        <v>135.68</v>
      </c>
      <c r="W56" t="s">
        <v>35</v>
      </c>
      <c r="X56" s="4">
        <v>118.23</v>
      </c>
      <c r="Y56" s="4">
        <v>130.68</v>
      </c>
    </row>
    <row r="57" spans="1:25" x14ac:dyDescent="0.25">
      <c r="A57" t="s">
        <v>51</v>
      </c>
      <c r="B57">
        <f>VLOOKUP($A57,$A$5:$H$31,2,FALSE)</f>
        <v>15</v>
      </c>
      <c r="C57">
        <f>VLOOKUP($A57,$A$5:$H$31,3,FALSE)</f>
        <v>225</v>
      </c>
      <c r="D57">
        <f>VLOOKUP($A57,$A$5:$H$31,4,FALSE)</f>
        <v>0</v>
      </c>
      <c r="E57">
        <f>VLOOKUP($A57,$A$5:$H$31,5,FALSE)</f>
        <v>0</v>
      </c>
      <c r="G57">
        <f>VLOOKUP($A57,$A$5:$H$31,7,FALSE)</f>
        <v>105</v>
      </c>
      <c r="H57">
        <f>VLOOKUP($A57,$A$5:$H$31,8,FALSE)</f>
        <v>0</v>
      </c>
      <c r="S57" t="s">
        <v>36</v>
      </c>
      <c r="T57" s="4">
        <f t="shared" si="1"/>
        <v>1451.57</v>
      </c>
      <c r="U57" s="4">
        <f t="shared" si="2"/>
        <v>1614.89</v>
      </c>
      <c r="W57" t="s">
        <v>36</v>
      </c>
      <c r="X57" s="4">
        <v>1456.57</v>
      </c>
      <c r="Y57" s="4">
        <v>1609.89</v>
      </c>
    </row>
    <row r="58" spans="1:25" x14ac:dyDescent="0.25">
      <c r="A58" s="2" t="s">
        <v>45</v>
      </c>
      <c r="C58" s="4" t="s">
        <v>28</v>
      </c>
      <c r="G58" s="4" t="s">
        <v>27</v>
      </c>
      <c r="S58" t="s">
        <v>37</v>
      </c>
      <c r="T58" s="4">
        <f t="shared" si="1"/>
        <v>2347.73</v>
      </c>
      <c r="U58" s="4">
        <f t="shared" si="2"/>
        <v>2605.38</v>
      </c>
      <c r="W58" t="s">
        <v>37</v>
      </c>
      <c r="X58" s="4">
        <v>2352.73</v>
      </c>
      <c r="Y58" s="4">
        <v>2600.38</v>
      </c>
    </row>
    <row r="59" spans="1:25" x14ac:dyDescent="0.25">
      <c r="A59" s="2" t="s">
        <v>10</v>
      </c>
      <c r="C59" s="4">
        <f>IF(NOT(ISBLANK(C58)),VLOOKUP(C58,$S$36:$U$65,3,FALSE),0)</f>
        <v>16.060000000000002</v>
      </c>
      <c r="D59" s="4">
        <f>IF(NOT(ISBLANK(D58)),VLOOKUP(D58,$S$36:$U$65,3,FALSE),0)</f>
        <v>0</v>
      </c>
      <c r="E59" s="4">
        <f>IF(NOT(ISBLANK(E58)),VLOOKUP(E58,$S$36:$U$65,3,FALSE),0)</f>
        <v>0</v>
      </c>
      <c r="G59" s="4">
        <f>IF(NOT(ISBLANK(G58)),VLOOKUP(G58,$S$36:$U$65,2,FALSE),0)</f>
        <v>32.42</v>
      </c>
      <c r="H59" s="4">
        <f>IF(NOT(ISBLANK(H58)),VLOOKUP(H58,$S$36:$U$65,2,FALSE),0)</f>
        <v>0</v>
      </c>
      <c r="S59" t="s">
        <v>38</v>
      </c>
      <c r="T59" s="4">
        <f t="shared" si="1"/>
        <v>1617.4</v>
      </c>
      <c r="U59" s="4">
        <f t="shared" si="2"/>
        <v>1798.17</v>
      </c>
      <c r="W59" t="s">
        <v>38</v>
      </c>
      <c r="X59" s="4">
        <v>1622.4</v>
      </c>
      <c r="Y59" s="4">
        <v>1793.17</v>
      </c>
    </row>
    <row r="60" spans="1:25" x14ac:dyDescent="0.25">
      <c r="A60" s="2" t="s">
        <v>9</v>
      </c>
      <c r="C60" s="6">
        <f>C59*C57</f>
        <v>3613.5000000000005</v>
      </c>
      <c r="D60" s="6">
        <f>D59*D57</f>
        <v>0</v>
      </c>
      <c r="E60" s="6">
        <f>E59*E57</f>
        <v>0</v>
      </c>
      <c r="F60" s="1"/>
      <c r="G60" s="6">
        <f>G57*G59</f>
        <v>3404.1000000000004</v>
      </c>
      <c r="H60" s="6">
        <f>H57*H59</f>
        <v>0</v>
      </c>
      <c r="I60" s="1"/>
      <c r="J60" s="1" t="str">
        <f>A57</f>
        <v>Iron Processing</v>
      </c>
      <c r="K60" s="4">
        <f>SUM(G60:H60)-SUM(C60:E60)</f>
        <v>-209.40000000000009</v>
      </c>
      <c r="L60" s="4">
        <f>SUM(G60:H60)/B57</f>
        <v>226.94000000000003</v>
      </c>
      <c r="M60" s="4">
        <f>K60/B57</f>
        <v>-13.960000000000006</v>
      </c>
      <c r="N60" s="3">
        <f>K60/SUM(G60:H60)</f>
        <v>-6.1514056578831432E-2</v>
      </c>
      <c r="O60" s="1"/>
      <c r="P60" s="4">
        <v>4157</v>
      </c>
      <c r="Q60" s="5">
        <f>P60/K60*B57</f>
        <v>-297.77936962750704</v>
      </c>
      <c r="S60" t="s">
        <v>39</v>
      </c>
      <c r="T60" s="4">
        <f t="shared" si="1"/>
        <v>34.14</v>
      </c>
      <c r="U60" s="4">
        <f t="shared" si="2"/>
        <v>48.26</v>
      </c>
      <c r="W60" t="s">
        <v>39</v>
      </c>
      <c r="X60" s="4">
        <v>39.14</v>
      </c>
      <c r="Y60" s="4">
        <v>43.26</v>
      </c>
    </row>
    <row r="61" spans="1:25" x14ac:dyDescent="0.25">
      <c r="S61" t="s">
        <v>40</v>
      </c>
      <c r="T61" s="4">
        <f t="shared" si="1"/>
        <v>11.41</v>
      </c>
      <c r="U61" s="4">
        <f t="shared" si="2"/>
        <v>23.14</v>
      </c>
      <c r="W61" t="s">
        <v>40</v>
      </c>
      <c r="X61" s="4">
        <v>16.41</v>
      </c>
      <c r="Y61" s="4">
        <v>18.14</v>
      </c>
    </row>
    <row r="62" spans="1:25" x14ac:dyDescent="0.25">
      <c r="A62" t="s">
        <v>53</v>
      </c>
      <c r="B62">
        <f>VLOOKUP($A62,$A$5:$H$31,2,FALSE)</f>
        <v>500</v>
      </c>
      <c r="C62">
        <f>VLOOKUP($A62,$A$5:$H$31,3,FALSE)</f>
        <v>375</v>
      </c>
      <c r="D62">
        <f>VLOOKUP($A62,$A$5:$H$31,4,FALSE)</f>
        <v>200</v>
      </c>
      <c r="E62">
        <f>VLOOKUP($A62,$A$5:$H$31,5,FALSE)</f>
        <v>11</v>
      </c>
      <c r="G62">
        <f>VLOOKUP($A62,$A$5:$H$31,7,FALSE)</f>
        <v>40</v>
      </c>
      <c r="H62">
        <f>VLOOKUP($A62,$A$5:$H$31,8,FALSE)</f>
        <v>0</v>
      </c>
      <c r="S62" t="s">
        <v>41</v>
      </c>
      <c r="T62" s="4">
        <f t="shared" si="1"/>
        <v>1682.17</v>
      </c>
      <c r="U62" s="4">
        <f t="shared" si="2"/>
        <v>1869.77</v>
      </c>
      <c r="W62" t="s">
        <v>41</v>
      </c>
      <c r="X62" s="4">
        <v>1687.17</v>
      </c>
      <c r="Y62" s="4">
        <v>1864.77</v>
      </c>
    </row>
    <row r="63" spans="1:25" x14ac:dyDescent="0.25">
      <c r="A63" s="2" t="s">
        <v>45</v>
      </c>
      <c r="C63" s="4" t="s">
        <v>25</v>
      </c>
      <c r="D63" s="4" t="s">
        <v>27</v>
      </c>
      <c r="E63" s="4" t="s">
        <v>15</v>
      </c>
      <c r="G63" s="4" t="s">
        <v>19</v>
      </c>
      <c r="S63" t="s">
        <v>42</v>
      </c>
      <c r="T63" s="4">
        <f t="shared" si="1"/>
        <v>1797.31</v>
      </c>
      <c r="U63" s="4">
        <f t="shared" si="2"/>
        <v>1997.02</v>
      </c>
      <c r="W63" t="s">
        <v>42</v>
      </c>
      <c r="X63" s="4">
        <v>1802.31</v>
      </c>
      <c r="Y63" s="4">
        <v>1992.02</v>
      </c>
    </row>
    <row r="64" spans="1:25" x14ac:dyDescent="0.25">
      <c r="A64" s="2" t="s">
        <v>10</v>
      </c>
      <c r="C64" s="4">
        <f>IF(NOT(ISBLANK(C63)),VLOOKUP(C63,$S$36:$U$65,3,FALSE),0)</f>
        <v>116.73</v>
      </c>
      <c r="D64" s="4">
        <f>IF(NOT(ISBLANK(D63)),VLOOKUP(D63,$S$36:$U$65,3,FALSE),0)</f>
        <v>46.36</v>
      </c>
      <c r="E64" s="4">
        <f>IF(NOT(ISBLANK(E63)),VLOOKUP(E63,$S$36:$U$65,3,FALSE),0)</f>
        <v>5.2</v>
      </c>
      <c r="G64" s="4">
        <f>IF(NOT(ISBLANK(G63)),VLOOKUP(G63,$S$36:$U$65,2,FALSE),0)</f>
        <v>1144.79</v>
      </c>
      <c r="H64" s="4">
        <f>IF(NOT(ISBLANK(H63)),VLOOKUP(H63,$S$36:$U$65,2,FALSE),0)</f>
        <v>0</v>
      </c>
      <c r="S64" t="s">
        <v>43</v>
      </c>
      <c r="T64" s="4">
        <f t="shared" si="1"/>
        <v>884.16</v>
      </c>
      <c r="U64" s="4">
        <f t="shared" si="2"/>
        <v>987.76</v>
      </c>
      <c r="W64" t="s">
        <v>43</v>
      </c>
      <c r="X64" s="4">
        <v>889.16</v>
      </c>
      <c r="Y64" s="4">
        <v>982.76</v>
      </c>
    </row>
    <row r="65" spans="1:25" x14ac:dyDescent="0.25">
      <c r="A65" s="2" t="s">
        <v>9</v>
      </c>
      <c r="C65" s="6">
        <f>C64*C62</f>
        <v>43773.75</v>
      </c>
      <c r="D65" s="6">
        <f>D64*D62</f>
        <v>9272</v>
      </c>
      <c r="E65" s="6">
        <f>E64*E62</f>
        <v>57.2</v>
      </c>
      <c r="F65" s="1"/>
      <c r="G65" s="6">
        <f>G62*G64</f>
        <v>45791.6</v>
      </c>
      <c r="H65" s="6">
        <f>H62*H64</f>
        <v>0</v>
      </c>
      <c r="I65" s="1"/>
      <c r="J65" s="1" t="str">
        <f>A62</f>
        <v>Steel Mill</v>
      </c>
      <c r="K65" s="4">
        <f>SUM(G65:H65)-SUM(C65:E65)</f>
        <v>-7311.3499999999985</v>
      </c>
      <c r="L65" s="4">
        <f>SUM(G65:H65)/B62</f>
        <v>91.583199999999991</v>
      </c>
      <c r="M65" s="4">
        <f>K65/B62</f>
        <v>-14.622699999999996</v>
      </c>
      <c r="N65" s="3">
        <f>K65/SUM(G65:H65)</f>
        <v>-0.15966574655613691</v>
      </c>
      <c r="O65" s="1"/>
      <c r="P65" s="4">
        <v>4157</v>
      </c>
      <c r="Q65" s="5">
        <f>P65/K65*B62</f>
        <v>-284.28402415422602</v>
      </c>
      <c r="S65" t="s">
        <v>44</v>
      </c>
      <c r="T65" s="4">
        <f t="shared" si="1"/>
        <v>1871.4</v>
      </c>
      <c r="U65" s="4">
        <f t="shared" si="2"/>
        <v>2078.92</v>
      </c>
      <c r="W65" t="s">
        <v>44</v>
      </c>
      <c r="X65" s="4">
        <v>1876.4</v>
      </c>
      <c r="Y65" s="4">
        <v>2073.92</v>
      </c>
    </row>
    <row r="67" spans="1:25" x14ac:dyDescent="0.25">
      <c r="A67" t="s">
        <v>54</v>
      </c>
      <c r="B67">
        <f>VLOOKUP($A67,$A$5:$H$31,2,FALSE)</f>
        <v>220</v>
      </c>
      <c r="C67">
        <f>VLOOKUP($A67,$A$5:$H$31,3,FALSE)</f>
        <v>0</v>
      </c>
      <c r="D67">
        <f>VLOOKUP($A67,$A$5:$H$31,4,FALSE)</f>
        <v>0</v>
      </c>
      <c r="E67">
        <f>VLOOKUP($A67,$A$5:$H$31,5,FALSE)</f>
        <v>0</v>
      </c>
      <c r="G67">
        <f>VLOOKUP($A67,$A$5:$H$31,7,FALSE)</f>
        <v>924</v>
      </c>
      <c r="H67">
        <f>VLOOKUP($A67,$A$5:$H$31,8,FALSE)</f>
        <v>0</v>
      </c>
    </row>
    <row r="68" spans="1:25" x14ac:dyDescent="0.25">
      <c r="A68" s="2" t="s">
        <v>45</v>
      </c>
      <c r="G68" s="4" t="s">
        <v>56</v>
      </c>
      <c r="V68" s="5"/>
    </row>
    <row r="69" spans="1:25" x14ac:dyDescent="0.25">
      <c r="A69" s="2" t="s">
        <v>10</v>
      </c>
      <c r="C69" s="4">
        <f>IF(NOT(ISBLANK(C68)),VLOOKUP(C68,$S$36:$U$65,3,FALSE),0)</f>
        <v>0</v>
      </c>
      <c r="D69" s="4">
        <f>IF(NOT(ISBLANK(D68)),VLOOKUP(D68,$S$36:$U$65,3,FALSE),0)</f>
        <v>0</v>
      </c>
      <c r="E69" s="4">
        <f>IF(NOT(ISBLANK(E68)),VLOOKUP(E68,$S$36:$U$65,3,FALSE),0)</f>
        <v>0</v>
      </c>
      <c r="G69" s="4">
        <f>IF(NOT(ISBLANK(G68)),VLOOKUP(G68,$S$36:$U$65,2,FALSE),0)</f>
        <v>10.119999999999999</v>
      </c>
      <c r="H69" s="4">
        <f>IF(NOT(ISBLANK(H68)),VLOOKUP(H68,$S$36:$U$65,2,FALSE),0)</f>
        <v>0</v>
      </c>
      <c r="V69" s="5"/>
    </row>
    <row r="70" spans="1:25" x14ac:dyDescent="0.25">
      <c r="A70" s="2" t="s">
        <v>9</v>
      </c>
      <c r="C70" s="6">
        <f>C69*C67</f>
        <v>0</v>
      </c>
      <c r="D70" s="6">
        <f>D69*D67</f>
        <v>0</v>
      </c>
      <c r="E70" s="6">
        <f>E69*E67</f>
        <v>0</v>
      </c>
      <c r="F70" s="1"/>
      <c r="G70" s="6">
        <f>G67*G69</f>
        <v>9350.8799999999992</v>
      </c>
      <c r="H70" s="6">
        <f>H67*H69</f>
        <v>0</v>
      </c>
      <c r="I70" s="1"/>
      <c r="J70" s="1" t="str">
        <f>A67</f>
        <v>Coal Mine</v>
      </c>
      <c r="K70" s="4">
        <f>SUM(G70:H70)-SUM(C70:E70)</f>
        <v>9350.8799999999992</v>
      </c>
      <c r="L70" s="4">
        <f>SUM(G70:H70)/B67</f>
        <v>42.503999999999998</v>
      </c>
      <c r="M70" s="4">
        <f>K70/B67</f>
        <v>42.503999999999998</v>
      </c>
      <c r="N70" s="3">
        <f>K70/SUM(G70:H70)</f>
        <v>1</v>
      </c>
      <c r="O70" s="1"/>
      <c r="P70" s="4">
        <v>4157</v>
      </c>
      <c r="Q70" s="5">
        <f>P70/K70*B67</f>
        <v>97.802559759081504</v>
      </c>
    </row>
    <row r="72" spans="1:25" x14ac:dyDescent="0.25">
      <c r="A72" t="s">
        <v>55</v>
      </c>
      <c r="B72">
        <f>VLOOKUP($A72,$A$5:$H$31,2,FALSE)</f>
        <v>15</v>
      </c>
      <c r="C72">
        <f>VLOOKUP($A72,$A$5:$H$31,3,FALSE)</f>
        <v>210</v>
      </c>
      <c r="D72">
        <f>VLOOKUP($A72,$A$5:$H$31,4,FALSE)</f>
        <v>0</v>
      </c>
      <c r="E72">
        <f>VLOOKUP($A72,$A$5:$H$31,5,FALSE)</f>
        <v>0</v>
      </c>
      <c r="G72">
        <f>VLOOKUP($A72,$A$5:$H$31,7,FALSE)</f>
        <v>120</v>
      </c>
      <c r="H72">
        <f>VLOOKUP($A72,$A$5:$H$31,8,FALSE)</f>
        <v>0</v>
      </c>
    </row>
    <row r="73" spans="1:25" x14ac:dyDescent="0.25">
      <c r="A73" s="2" t="s">
        <v>45</v>
      </c>
      <c r="C73" s="4" t="s">
        <v>56</v>
      </c>
      <c r="G73" s="4" t="s">
        <v>25</v>
      </c>
    </row>
    <row r="74" spans="1:25" x14ac:dyDescent="0.25">
      <c r="A74" s="2" t="s">
        <v>10</v>
      </c>
      <c r="C74" s="4">
        <f>IF(NOT(ISBLANK(C73)),VLOOKUP(C73,$S$36:$U$65,3,FALSE),0)</f>
        <v>21.71</v>
      </c>
      <c r="D74" s="4">
        <f>IF(NOT(ISBLANK(D73)),VLOOKUP(D73,$S$36:$U$65,3,FALSE),0)</f>
        <v>0</v>
      </c>
      <c r="E74" s="4">
        <f>IF(NOT(ISBLANK(E73)),VLOOKUP(E73,$S$36:$U$65,3,FALSE),0)</f>
        <v>0</v>
      </c>
      <c r="G74" s="4">
        <f>IF(NOT(ISBLANK(G73)),VLOOKUP(G73,$S$36:$U$65,2,FALSE),0)</f>
        <v>96.09</v>
      </c>
      <c r="H74" s="4">
        <f>IF(NOT(ISBLANK(H73)),VLOOKUP(H73,$S$36:$U$65,2,FALSE),0)</f>
        <v>0</v>
      </c>
    </row>
    <row r="75" spans="1:25" x14ac:dyDescent="0.25">
      <c r="A75" s="2" t="s">
        <v>9</v>
      </c>
      <c r="C75" s="6">
        <f>C74*C72</f>
        <v>4559.1000000000004</v>
      </c>
      <c r="D75" s="6">
        <f>D74*D72</f>
        <v>0</v>
      </c>
      <c r="E75" s="6">
        <f>E74*E72</f>
        <v>0</v>
      </c>
      <c r="F75" s="1"/>
      <c r="G75" s="6">
        <f>G72*G74</f>
        <v>11530.800000000001</v>
      </c>
      <c r="H75" s="6">
        <f>H72*H74</f>
        <v>0</v>
      </c>
      <c r="I75" s="1"/>
      <c r="J75" s="1" t="str">
        <f>A72</f>
        <v>Coal Processing</v>
      </c>
      <c r="K75" s="4">
        <f>SUM(G75:H75)-SUM(C75:E75)</f>
        <v>6971.7000000000007</v>
      </c>
      <c r="L75" s="4">
        <f>SUM(G75:H75)/B72</f>
        <v>768.72</v>
      </c>
      <c r="M75" s="4">
        <f>K75/B72</f>
        <v>464.78000000000003</v>
      </c>
      <c r="N75" s="3">
        <f>K75/SUM(G75:H75)</f>
        <v>0.60461546466853988</v>
      </c>
      <c r="O75" s="1"/>
      <c r="P75" s="4">
        <v>4157</v>
      </c>
      <c r="Q75" s="5">
        <f>P75/K75*B72</f>
        <v>8.9440165239468126</v>
      </c>
    </row>
    <row r="77" spans="1:25" x14ac:dyDescent="0.25">
      <c r="A77" t="s">
        <v>57</v>
      </c>
      <c r="B77">
        <f>VLOOKUP($A77,$A$5:$H$31,2,FALSE)</f>
        <v>75</v>
      </c>
      <c r="C77">
        <f>VLOOKUP($A77,$A$5:$H$31,3,FALSE)</f>
        <v>33</v>
      </c>
      <c r="D77">
        <f>VLOOKUP($A77,$A$5:$H$31,4,FALSE)</f>
        <v>0</v>
      </c>
      <c r="E77">
        <f>VLOOKUP($A77,$A$5:$H$31,5,FALSE)</f>
        <v>0</v>
      </c>
      <c r="G77">
        <f>VLOOKUP($A77,$A$5:$H$31,7,FALSE)</f>
        <v>51</v>
      </c>
      <c r="H77">
        <f>VLOOKUP($A77,$A$5:$H$31,8,FALSE)</f>
        <v>0</v>
      </c>
    </row>
    <row r="78" spans="1:25" x14ac:dyDescent="0.25">
      <c r="A78" s="2" t="s">
        <v>45</v>
      </c>
      <c r="C78" s="4" t="s">
        <v>25</v>
      </c>
      <c r="G78" s="4" t="s">
        <v>21</v>
      </c>
    </row>
    <row r="79" spans="1:25" x14ac:dyDescent="0.25">
      <c r="A79" s="2" t="s">
        <v>10</v>
      </c>
      <c r="C79" s="4">
        <f>IF(NOT(ISBLANK(C78)),VLOOKUP(C78,$S$36:$U$65,3,FALSE),0)</f>
        <v>116.73</v>
      </c>
      <c r="D79" s="4">
        <f>IF(NOT(ISBLANK(D78)),VLOOKUP(D78,$S$36:$U$65,3,FALSE),0)</f>
        <v>0</v>
      </c>
      <c r="E79" s="4">
        <f>IF(NOT(ISBLANK(E78)),VLOOKUP(E78,$S$36:$U$65,3,FALSE),0)</f>
        <v>0</v>
      </c>
      <c r="G79" s="4">
        <f>IF(NOT(ISBLANK(G78)),VLOOKUP(G78,$S$36:$U$65,2,FALSE),0)</f>
        <v>69.33</v>
      </c>
      <c r="H79" s="4">
        <f>IF(NOT(ISBLANK(H78)),VLOOKUP(H78,$S$36:$U$65,2,FALSE),0)</f>
        <v>0</v>
      </c>
    </row>
    <row r="80" spans="1:25" x14ac:dyDescent="0.25">
      <c r="A80" s="2" t="s">
        <v>9</v>
      </c>
      <c r="C80" s="6">
        <f>C79*C77</f>
        <v>3852.09</v>
      </c>
      <c r="D80" s="6">
        <f>D79*D77</f>
        <v>0</v>
      </c>
      <c r="E80" s="6">
        <f>E79*E77</f>
        <v>0</v>
      </c>
      <c r="F80" s="1"/>
      <c r="G80" s="6">
        <f>G77*G79</f>
        <v>3535.83</v>
      </c>
      <c r="H80" s="6">
        <f>H77*H79</f>
        <v>0</v>
      </c>
      <c r="I80" s="1"/>
      <c r="J80" s="1" t="str">
        <f>A77</f>
        <v>Brick Factory</v>
      </c>
      <c r="K80" s="4">
        <f>SUM(G80:H80)-SUM(C80:E80)</f>
        <v>-316.26000000000022</v>
      </c>
      <c r="L80" s="4">
        <f>SUM(G80:H80)/B77</f>
        <v>47.144399999999997</v>
      </c>
      <c r="M80" s="4">
        <f>K80/B77</f>
        <v>-4.2168000000000028</v>
      </c>
      <c r="N80" s="3">
        <f>K80/SUM(G80:H80)</f>
        <v>-8.9444345457785082E-2</v>
      </c>
      <c r="O80" s="1"/>
      <c r="P80" s="4">
        <v>4157</v>
      </c>
      <c r="Q80" s="5">
        <f>P80/K80*B77</f>
        <v>-985.81863024094037</v>
      </c>
    </row>
    <row r="82" spans="1:17" x14ac:dyDescent="0.25">
      <c r="A82" t="s">
        <v>58</v>
      </c>
      <c r="B82">
        <f>VLOOKUP($A82,$A$5:$H$31,2,FALSE)</f>
        <v>20</v>
      </c>
      <c r="C82">
        <f>VLOOKUP($A82,$A$5:$H$31,3,FALSE)</f>
        <v>24</v>
      </c>
      <c r="D82">
        <f>VLOOKUP($A82,$A$5:$H$31,4,FALSE)</f>
        <v>0</v>
      </c>
      <c r="E82">
        <f>VLOOKUP($A82,$A$5:$H$31,5,FALSE)</f>
        <v>0</v>
      </c>
      <c r="G82">
        <f>VLOOKUP($A82,$A$5:$H$31,7,FALSE)</f>
        <v>1400</v>
      </c>
      <c r="H82">
        <f>VLOOKUP($A82,$A$5:$H$31,8,FALSE)</f>
        <v>0</v>
      </c>
    </row>
    <row r="83" spans="1:17" x14ac:dyDescent="0.25">
      <c r="A83" s="2" t="s">
        <v>45</v>
      </c>
      <c r="C83" s="4" t="s">
        <v>25</v>
      </c>
      <c r="G83" s="4" t="s">
        <v>15</v>
      </c>
    </row>
    <row r="84" spans="1:17" x14ac:dyDescent="0.25">
      <c r="A84" s="2" t="s">
        <v>10</v>
      </c>
      <c r="C84" s="4">
        <f>IF(NOT(ISBLANK(C83)),VLOOKUP(C83,$S$36:$U$65,3,FALSE),0)</f>
        <v>116.73</v>
      </c>
      <c r="D84" s="4">
        <f>IF(NOT(ISBLANK(D83)),VLOOKUP(D83,$S$36:$U$65,3,FALSE),0)</f>
        <v>0</v>
      </c>
      <c r="E84" s="4">
        <f>IF(NOT(ISBLANK(E83)),VLOOKUP(E83,$S$36:$U$65,3,FALSE),0)</f>
        <v>0</v>
      </c>
      <c r="G84" s="4">
        <f>IF(NOT(ISBLANK(G83)),VLOOKUP(G83,$S$36:$U$65,2,FALSE),0)</f>
        <v>4.71</v>
      </c>
      <c r="H84" s="4">
        <f>IF(NOT(ISBLANK(H83)),VLOOKUP(H83,$S$36:$U$65,2,FALSE),0)</f>
        <v>0</v>
      </c>
    </row>
    <row r="85" spans="1:17" x14ac:dyDescent="0.25">
      <c r="A85" s="2" t="s">
        <v>9</v>
      </c>
      <c r="C85" s="6">
        <f>C84*C82</f>
        <v>2801.52</v>
      </c>
      <c r="D85" s="6">
        <f>D84*D82</f>
        <v>0</v>
      </c>
      <c r="E85" s="6">
        <f>E84*E82</f>
        <v>0</v>
      </c>
      <c r="F85" s="1"/>
      <c r="G85" s="6">
        <f>G82*G84</f>
        <v>6594</v>
      </c>
      <c r="H85" s="6">
        <f>H82*H84</f>
        <v>0</v>
      </c>
      <c r="I85" s="1"/>
      <c r="J85" s="1" t="str">
        <f>A82</f>
        <v>Coal Power</v>
      </c>
      <c r="K85" s="4">
        <f>SUM(G85:H85)-SUM(C85:E85)</f>
        <v>3792.48</v>
      </c>
      <c r="L85" s="4">
        <f>SUM(G85:H85)/B82</f>
        <v>329.7</v>
      </c>
      <c r="M85" s="4">
        <f>K85/B82</f>
        <v>189.624</v>
      </c>
      <c r="N85" s="3">
        <f>K85/SUM(G85:H85)</f>
        <v>0.57514103730664246</v>
      </c>
      <c r="O85" s="1"/>
      <c r="P85" s="4">
        <v>4157</v>
      </c>
      <c r="Q85" s="5">
        <f>P85/K85*B82</f>
        <v>21.922330506686919</v>
      </c>
    </row>
    <row r="87" spans="1:17" x14ac:dyDescent="0.25">
      <c r="A87" t="s">
        <v>59</v>
      </c>
      <c r="B87">
        <f>VLOOKUP($A87,$A$5:$H$31,2,FALSE)</f>
        <v>40</v>
      </c>
      <c r="C87">
        <f>VLOOKUP($A87,$A$5:$H$31,3,FALSE)</f>
        <v>0</v>
      </c>
      <c r="D87">
        <f>VLOOKUP($A87,$A$5:$H$31,4,FALSE)</f>
        <v>0</v>
      </c>
      <c r="E87">
        <f>VLOOKUP($A87,$A$5:$H$31,5,FALSE)</f>
        <v>0</v>
      </c>
      <c r="G87">
        <f>VLOOKUP($A87,$A$5:$H$31,7,FALSE)</f>
        <v>140</v>
      </c>
      <c r="H87">
        <f>VLOOKUP($A87,$A$5:$H$31,8,FALSE)</f>
        <v>0</v>
      </c>
    </row>
    <row r="88" spans="1:17" x14ac:dyDescent="0.25">
      <c r="A88" s="2" t="s">
        <v>45</v>
      </c>
      <c r="G88" s="4" t="s">
        <v>17</v>
      </c>
    </row>
    <row r="89" spans="1:17" x14ac:dyDescent="0.25">
      <c r="A89" s="2" t="s">
        <v>10</v>
      </c>
      <c r="C89" s="4">
        <f>IF(NOT(ISBLANK(C88)),VLOOKUP(C88,$S$36:$U$65,3,FALSE),0)</f>
        <v>0</v>
      </c>
      <c r="D89" s="4">
        <f>IF(NOT(ISBLANK(D88)),VLOOKUP(D88,$S$36:$U$65,3,FALSE),0)</f>
        <v>0</v>
      </c>
      <c r="E89" s="4">
        <f>IF(NOT(ISBLANK(E88)),VLOOKUP(E88,$S$36:$U$65,3,FALSE),0)</f>
        <v>0</v>
      </c>
      <c r="G89" s="4">
        <f>IF(NOT(ISBLANK(G88)),VLOOKUP(G88,$S$36:$U$65,2,FALSE),0)</f>
        <v>0.45000000000000018</v>
      </c>
      <c r="H89" s="4">
        <f>IF(NOT(ISBLANK(H88)),VLOOKUP(H88,$S$36:$U$65,2,FALSE),0)</f>
        <v>0</v>
      </c>
    </row>
    <row r="90" spans="1:17" x14ac:dyDescent="0.25">
      <c r="A90" s="2" t="s">
        <v>9</v>
      </c>
      <c r="C90" s="6">
        <f>C89*C87</f>
        <v>0</v>
      </c>
      <c r="D90" s="6">
        <f>D89*D87</f>
        <v>0</v>
      </c>
      <c r="E90" s="6">
        <f>E89*E87</f>
        <v>0</v>
      </c>
      <c r="F90" s="1"/>
      <c r="G90" s="6">
        <f>G87*G89</f>
        <v>63.000000000000028</v>
      </c>
      <c r="H90" s="6">
        <f>H87*H89</f>
        <v>0</v>
      </c>
      <c r="I90" s="1"/>
      <c r="J90" s="1" t="str">
        <f>A87</f>
        <v>Quarry</v>
      </c>
      <c r="K90" s="4">
        <f>SUM(G90:H90)-SUM(C90:E90)</f>
        <v>63.000000000000028</v>
      </c>
      <c r="L90" s="4">
        <f>SUM(G90:H90)/B87</f>
        <v>1.5750000000000006</v>
      </c>
      <c r="M90" s="4">
        <f>K90/B87</f>
        <v>1.5750000000000006</v>
      </c>
      <c r="N90" s="3">
        <f>K90/SUM(G90:H90)</f>
        <v>1</v>
      </c>
      <c r="O90" s="1"/>
      <c r="P90" s="4">
        <v>4157</v>
      </c>
      <c r="Q90" s="5">
        <f>P90/K90*B87</f>
        <v>2639.3650793650786</v>
      </c>
    </row>
    <row r="92" spans="1:17" x14ac:dyDescent="0.25">
      <c r="A92" t="s">
        <v>60</v>
      </c>
      <c r="B92">
        <f>VLOOKUP($A92,$A$5:$H$31,2,FALSE)</f>
        <v>15</v>
      </c>
      <c r="C92">
        <f>VLOOKUP($A92,$A$5:$H$31,3,FALSE)</f>
        <v>120</v>
      </c>
      <c r="D92">
        <f>VLOOKUP($A92,$A$5:$H$31,4,FALSE)</f>
        <v>24</v>
      </c>
      <c r="E92">
        <f>VLOOKUP($A92,$A$5:$H$31,5,FALSE)</f>
        <v>0</v>
      </c>
      <c r="G92">
        <f>VLOOKUP($A92,$A$5:$H$31,7,FALSE)</f>
        <v>82</v>
      </c>
      <c r="H92">
        <f>VLOOKUP($A92,$A$5:$H$31,8,FALSE)</f>
        <v>0</v>
      </c>
    </row>
    <row r="93" spans="1:17" x14ac:dyDescent="0.25">
      <c r="A93" s="2" t="s">
        <v>45</v>
      </c>
      <c r="C93" s="4" t="s">
        <v>17</v>
      </c>
      <c r="D93" s="4" t="s">
        <v>15</v>
      </c>
      <c r="G93" s="4" t="s">
        <v>16</v>
      </c>
    </row>
    <row r="94" spans="1:17" x14ac:dyDescent="0.25">
      <c r="A94" s="2" t="s">
        <v>10</v>
      </c>
      <c r="C94" s="4">
        <f>IF(NOT(ISBLANK(C93)),VLOOKUP(C93,$S$36:$U$65,3,FALSE),0)</f>
        <v>11.02</v>
      </c>
      <c r="D94" s="4">
        <f>IF(NOT(ISBLANK(D93)),VLOOKUP(D93,$S$36:$U$65,3,FALSE),0)</f>
        <v>5.2</v>
      </c>
      <c r="E94" s="4">
        <f>IF(NOT(ISBLANK(E93)),VLOOKUP(E93,$S$36:$U$65,3,FALSE),0)</f>
        <v>0</v>
      </c>
      <c r="G94" s="4">
        <f>IF(NOT(ISBLANK(G93)),VLOOKUP(G93,$S$36:$U$65,2,FALSE),0)</f>
        <v>6.41</v>
      </c>
      <c r="H94" s="4">
        <f>IF(NOT(ISBLANK(H93)),VLOOKUP(H93,$S$36:$U$65,2,FALSE),0)</f>
        <v>0</v>
      </c>
    </row>
    <row r="95" spans="1:17" x14ac:dyDescent="0.25">
      <c r="A95" s="2" t="s">
        <v>9</v>
      </c>
      <c r="C95" s="6">
        <f>C94*C92</f>
        <v>1322.3999999999999</v>
      </c>
      <c r="D95" s="6">
        <f>D94*D92</f>
        <v>124.80000000000001</v>
      </c>
      <c r="E95" s="6">
        <f>E94*E92</f>
        <v>0</v>
      </c>
      <c r="F95" s="1"/>
      <c r="G95" s="6">
        <f>G92*G94</f>
        <v>525.62</v>
      </c>
      <c r="H95" s="6">
        <f>H92*H94</f>
        <v>0</v>
      </c>
      <c r="I95" s="1"/>
      <c r="J95" s="1" t="str">
        <f>A92</f>
        <v>Gravel Plant</v>
      </c>
      <c r="K95" s="4">
        <f>SUM(G95:H95)-SUM(C95:E95)</f>
        <v>-921.57999999999981</v>
      </c>
      <c r="L95" s="4">
        <f>SUM(G95:H95)/B92</f>
        <v>35.041333333333334</v>
      </c>
      <c r="M95" s="4">
        <f>K95/B92</f>
        <v>-61.438666666666656</v>
      </c>
      <c r="N95" s="3">
        <f>K95/SUM(G95:H95)</f>
        <v>-1.7533198888931163</v>
      </c>
      <c r="O95" s="1"/>
      <c r="P95" s="4">
        <v>4157</v>
      </c>
      <c r="Q95" s="5">
        <f>P95/K95*B92</f>
        <v>-67.660973545432853</v>
      </c>
    </row>
    <row r="97" spans="1:17" x14ac:dyDescent="0.25">
      <c r="A97" t="s">
        <v>61</v>
      </c>
      <c r="B97">
        <f>VLOOKUP($A97,$A$5:$H$31,2,FALSE)</f>
        <v>30</v>
      </c>
      <c r="C97">
        <f>VLOOKUP($A97,$A$5:$H$31,3,FALSE)</f>
        <v>22</v>
      </c>
      <c r="D97">
        <f>VLOOKUP($A97,$A$5:$H$31,4,FALSE)</f>
        <v>210</v>
      </c>
      <c r="E97">
        <f>VLOOKUP($A97,$A$5:$H$31,5,FALSE)</f>
        <v>6</v>
      </c>
      <c r="G97">
        <f>VLOOKUP($A97,$A$5:$H$31,7,FALSE)</f>
        <v>81</v>
      </c>
      <c r="H97">
        <f>VLOOKUP($A97,$A$5:$H$31,8,FALSE)</f>
        <v>0</v>
      </c>
    </row>
    <row r="98" spans="1:17" x14ac:dyDescent="0.25">
      <c r="A98" s="2" t="s">
        <v>45</v>
      </c>
      <c r="C98" s="4" t="s">
        <v>25</v>
      </c>
      <c r="D98" s="4" t="s">
        <v>16</v>
      </c>
      <c r="E98" s="4" t="s">
        <v>15</v>
      </c>
      <c r="G98" s="4" t="s">
        <v>34</v>
      </c>
    </row>
    <row r="99" spans="1:17" x14ac:dyDescent="0.25">
      <c r="A99" s="2" t="s">
        <v>10</v>
      </c>
      <c r="C99" s="4">
        <f>IF(NOT(ISBLANK(C98)),VLOOKUP(C98,$S$36:$U$65,3,FALSE),0)</f>
        <v>116.73</v>
      </c>
      <c r="D99" s="4">
        <f>IF(NOT(ISBLANK(D98)),VLOOKUP(D98,$S$36:$U$65,3,FALSE),0)</f>
        <v>17.61</v>
      </c>
      <c r="E99" s="4">
        <f>IF(NOT(ISBLANK(E98)),VLOOKUP(E98,$S$36:$U$65,3,FALSE),0)</f>
        <v>5.2</v>
      </c>
      <c r="G99" s="4">
        <f>IF(NOT(ISBLANK(G98)),VLOOKUP(G98,$S$36:$U$65,2,FALSE),0)</f>
        <v>69.260000000000005</v>
      </c>
      <c r="H99" s="4">
        <f>IF(NOT(ISBLANK(H98)),VLOOKUP(H98,$S$36:$U$65,2,FALSE),0)</f>
        <v>0</v>
      </c>
    </row>
    <row r="100" spans="1:17" x14ac:dyDescent="0.25">
      <c r="A100" s="2" t="s">
        <v>9</v>
      </c>
      <c r="C100" s="6">
        <f>C99*C97</f>
        <v>2568.06</v>
      </c>
      <c r="D100" s="6">
        <f>D99*D97</f>
        <v>3698.1</v>
      </c>
      <c r="E100" s="6">
        <f>E99*E97</f>
        <v>31.200000000000003</v>
      </c>
      <c r="F100" s="1"/>
      <c r="G100" s="6">
        <f>G97*G99</f>
        <v>5610.06</v>
      </c>
      <c r="H100" s="6">
        <f>H97*H99</f>
        <v>0</v>
      </c>
      <c r="I100" s="1"/>
      <c r="J100" s="1" t="str">
        <f>A97</f>
        <v>Cement Plant</v>
      </c>
      <c r="K100" s="4">
        <f>SUM(G100:H100)-SUM(C100:E100)</f>
        <v>-687.29999999999927</v>
      </c>
      <c r="L100" s="4">
        <f>SUM(G100:H100)/B97</f>
        <v>187.00200000000001</v>
      </c>
      <c r="M100" s="4">
        <f>K100/B97</f>
        <v>-22.909999999999975</v>
      </c>
      <c r="N100" s="3">
        <f>K100/SUM(G100:H100)</f>
        <v>-0.12251205869455928</v>
      </c>
      <c r="O100" s="1"/>
      <c r="P100" s="4">
        <v>4157</v>
      </c>
      <c r="Q100" s="5">
        <f>P100/K100*B97</f>
        <v>-181.44914884330007</v>
      </c>
    </row>
    <row r="102" spans="1:17" x14ac:dyDescent="0.25">
      <c r="A102" t="s">
        <v>62</v>
      </c>
      <c r="B102">
        <f>VLOOKUP($A102,$A$5:$H$31,2,FALSE)</f>
        <v>5</v>
      </c>
      <c r="C102">
        <f>VLOOKUP($A102,$A$5:$H$31,3,FALSE)</f>
        <v>135</v>
      </c>
      <c r="D102">
        <f>VLOOKUP($A102,$A$5:$H$31,4,FALSE)</f>
        <v>30</v>
      </c>
      <c r="E102">
        <f>VLOOKUP($A102,$A$5:$H$31,5,FALSE)</f>
        <v>12</v>
      </c>
      <c r="G102">
        <f>VLOOKUP($A102,$A$5:$H$31,7,FALSE)</f>
        <v>175</v>
      </c>
      <c r="H102">
        <f>VLOOKUP($A102,$A$5:$H$31,8,FALSE)</f>
        <v>0</v>
      </c>
    </row>
    <row r="103" spans="1:17" x14ac:dyDescent="0.25">
      <c r="A103" s="2" t="s">
        <v>45</v>
      </c>
      <c r="C103" s="4" t="s">
        <v>16</v>
      </c>
      <c r="D103" s="4" t="s">
        <v>34</v>
      </c>
      <c r="E103" s="4" t="s">
        <v>15</v>
      </c>
      <c r="G103" s="4" t="s">
        <v>40</v>
      </c>
    </row>
    <row r="104" spans="1:17" x14ac:dyDescent="0.25">
      <c r="A104" s="2" t="s">
        <v>10</v>
      </c>
      <c r="C104" s="4">
        <f>IF(NOT(ISBLANK(C103)),VLOOKUP(C103,$S$36:$U$65,3,FALSE),0)</f>
        <v>17.61</v>
      </c>
      <c r="D104" s="4">
        <f>IF(NOT(ISBLANK(D103)),VLOOKUP(D103,$S$36:$U$65,3,FALSE),0)</f>
        <v>87.08</v>
      </c>
      <c r="E104" s="4">
        <f>IF(NOT(ISBLANK(E103)),VLOOKUP(E103,$S$36:$U$65,3,FALSE),0)</f>
        <v>5.2</v>
      </c>
      <c r="G104" s="4">
        <f>IF(NOT(ISBLANK(G103)),VLOOKUP(G103,$S$36:$U$65,2,FALSE),0)</f>
        <v>11.41</v>
      </c>
      <c r="H104" s="4">
        <f>IF(NOT(ISBLANK(H103)),VLOOKUP(H103,$S$36:$U$65,2,FALSE),0)</f>
        <v>0</v>
      </c>
    </row>
    <row r="105" spans="1:17" x14ac:dyDescent="0.25">
      <c r="A105" s="2" t="s">
        <v>9</v>
      </c>
      <c r="C105" s="6">
        <f>C104*C102</f>
        <v>2377.35</v>
      </c>
      <c r="D105" s="6">
        <f>D104*D102</f>
        <v>2612.4</v>
      </c>
      <c r="E105" s="6">
        <f>E104*E102</f>
        <v>62.400000000000006</v>
      </c>
      <c r="F105" s="1"/>
      <c r="G105" s="6">
        <f>G102*G104</f>
        <v>1996.75</v>
      </c>
      <c r="H105" s="6">
        <f>H102*H104</f>
        <v>0</v>
      </c>
      <c r="I105" s="1"/>
      <c r="J105" s="1" t="str">
        <f>A102</f>
        <v>Concrete Plant</v>
      </c>
      <c r="K105" s="4">
        <f>SUM(G105:H105)-SUM(C105:E105)</f>
        <v>-3055.3999999999996</v>
      </c>
      <c r="L105" s="4">
        <f>SUM(G105:H105)/B102</f>
        <v>399.35</v>
      </c>
      <c r="M105" s="4">
        <f>K105/B102</f>
        <v>-611.07999999999993</v>
      </c>
      <c r="N105" s="3">
        <f>K105/SUM(G105:H105)</f>
        <v>-1.5301865531488668</v>
      </c>
      <c r="O105" s="1"/>
      <c r="P105" s="4">
        <v>4157</v>
      </c>
      <c r="Q105" s="5">
        <f>P105/K105*B102</f>
        <v>-6.8027099561432225</v>
      </c>
    </row>
    <row r="107" spans="1:17" x14ac:dyDescent="0.25">
      <c r="A107" t="s">
        <v>63</v>
      </c>
      <c r="B107">
        <f>VLOOKUP($A107,$A$5:$H$31,2,FALSE)</f>
        <v>1</v>
      </c>
      <c r="C107">
        <f>VLOOKUP($A107,$A$5:$H$31,3,FALSE)</f>
        <v>3.9</v>
      </c>
      <c r="D107">
        <f>VLOOKUP($A107,$A$5:$H$31,4,FALSE)</f>
        <v>0</v>
      </c>
      <c r="E107">
        <f>VLOOKUP($A107,$A$5:$H$31,5,FALSE)</f>
        <v>0</v>
      </c>
      <c r="G107">
        <f>VLOOKUP($A107,$A$5:$H$31,7,FALSE)</f>
        <v>7</v>
      </c>
      <c r="H107">
        <f>VLOOKUP($A107,$A$5:$H$31,8,FALSE)</f>
        <v>0</v>
      </c>
    </row>
    <row r="108" spans="1:17" x14ac:dyDescent="0.25">
      <c r="A108" s="2" t="s">
        <v>45</v>
      </c>
      <c r="C108" s="4" t="s">
        <v>15</v>
      </c>
      <c r="G108" s="4" t="s">
        <v>23</v>
      </c>
    </row>
    <row r="109" spans="1:17" x14ac:dyDescent="0.25">
      <c r="A109" s="2" t="s">
        <v>10</v>
      </c>
      <c r="C109" s="4">
        <f>IF(NOT(ISBLANK(C108)),VLOOKUP(C108,$S$36:$U$65,3,FALSE),0)</f>
        <v>5.2</v>
      </c>
      <c r="D109" s="4">
        <f>IF(NOT(ISBLANK(D108)),VLOOKUP(D108,$S$36:$U$65,3,FALSE),0)</f>
        <v>0</v>
      </c>
      <c r="E109" s="4">
        <f>IF(NOT(ISBLANK(E108)),VLOOKUP(E108,$S$36:$U$65,3,FALSE),0)</f>
        <v>0</v>
      </c>
      <c r="G109" s="4">
        <f>IF(NOT(ISBLANK(G108)),VLOOKUP(G108,$S$36:$U$65,2,FALSE),0)</f>
        <v>50.02</v>
      </c>
      <c r="H109" s="4">
        <f>IF(NOT(ISBLANK(H108)),VLOOKUP(H108,$S$36:$U$65,2,FALSE),0)</f>
        <v>0</v>
      </c>
    </row>
    <row r="110" spans="1:17" x14ac:dyDescent="0.25">
      <c r="A110" s="2" t="s">
        <v>9</v>
      </c>
      <c r="C110" s="6">
        <f>C109*C107</f>
        <v>20.28</v>
      </c>
      <c r="D110" s="6">
        <f>D109*D107</f>
        <v>0</v>
      </c>
      <c r="E110" s="6">
        <f>E109*E107</f>
        <v>0</v>
      </c>
      <c r="F110" s="1"/>
      <c r="G110" s="6">
        <f>G107*G109</f>
        <v>350.14000000000004</v>
      </c>
      <c r="H110" s="6">
        <f>H107*H109</f>
        <v>0</v>
      </c>
      <c r="I110" s="1"/>
      <c r="J110" s="1" t="str">
        <f>A107</f>
        <v>Oil rig</v>
      </c>
      <c r="K110" s="4">
        <f>SUM(G110:H110)-SUM(C110:E110)</f>
        <v>329.86</v>
      </c>
      <c r="L110" s="4">
        <f>SUM(G110:H110)/B107</f>
        <v>350.14000000000004</v>
      </c>
      <c r="M110" s="4">
        <f>K110/B107</f>
        <v>329.86</v>
      </c>
      <c r="N110" s="3">
        <f>K110/SUM(G110:H110)</f>
        <v>0.94208031073284959</v>
      </c>
      <c r="O110" s="1"/>
      <c r="P110" s="4">
        <v>4157</v>
      </c>
      <c r="Q110" s="5">
        <f>P110/K110*B107</f>
        <v>12.602316134117505</v>
      </c>
    </row>
    <row r="112" spans="1:17" x14ac:dyDescent="0.25">
      <c r="A112" t="s">
        <v>64</v>
      </c>
      <c r="B112">
        <f>VLOOKUP($A112,$A$5:$H$31,2,FALSE)</f>
        <v>500</v>
      </c>
      <c r="C112">
        <f>VLOOKUP($A112,$A$5:$H$31,3,FALSE)</f>
        <v>250</v>
      </c>
      <c r="D112">
        <f>VLOOKUP($A112,$A$5:$H$31,4,FALSE)</f>
        <v>12</v>
      </c>
      <c r="E112">
        <f>VLOOKUP($A112,$A$5:$H$31,5,FALSE)</f>
        <v>0</v>
      </c>
      <c r="G112">
        <f>VLOOKUP($A112,$A$5:$H$31,7,FALSE)</f>
        <v>125</v>
      </c>
      <c r="H112">
        <f>VLOOKUP($A112,$A$5:$H$31,8,FALSE)</f>
        <v>75</v>
      </c>
    </row>
    <row r="113" spans="1:17" x14ac:dyDescent="0.25">
      <c r="A113" s="2" t="s">
        <v>45</v>
      </c>
      <c r="C113" s="4" t="s">
        <v>23</v>
      </c>
      <c r="D113" s="4" t="s">
        <v>15</v>
      </c>
      <c r="G113" s="4" t="s">
        <v>31</v>
      </c>
      <c r="H113" s="4" t="s">
        <v>29</v>
      </c>
    </row>
    <row r="114" spans="1:17" x14ac:dyDescent="0.25">
      <c r="A114" s="2" t="s">
        <v>10</v>
      </c>
      <c r="C114" s="4">
        <f>IF(NOT(ISBLANK(C113)),VLOOKUP(C113,$S$36:$U$65,3,FALSE),0)</f>
        <v>65.81</v>
      </c>
      <c r="D114" s="4">
        <f>IF(NOT(ISBLANK(D113)),VLOOKUP(D113,$S$36:$U$65,3,FALSE),0)</f>
        <v>5.2</v>
      </c>
      <c r="E114" s="4">
        <f>IF(NOT(ISBLANK(E113)),VLOOKUP(E113,$S$36:$U$65,3,FALSE),0)</f>
        <v>0</v>
      </c>
      <c r="G114" s="4">
        <f>IF(NOT(ISBLANK(G113)),VLOOKUP(G113,$S$36:$U$65,2,FALSE),0)</f>
        <v>165.35</v>
      </c>
      <c r="H114" s="4">
        <f>IF(NOT(ISBLANK(H113)),VLOOKUP(H113,$S$36:$U$65,2,FALSE),0)</f>
        <v>228.07</v>
      </c>
    </row>
    <row r="115" spans="1:17" x14ac:dyDescent="0.25">
      <c r="A115" s="2" t="s">
        <v>9</v>
      </c>
      <c r="C115" s="6">
        <f>C114*C112</f>
        <v>16452.5</v>
      </c>
      <c r="D115" s="6">
        <f>D114*D112</f>
        <v>62.400000000000006</v>
      </c>
      <c r="E115" s="6">
        <f>E114*E112</f>
        <v>0</v>
      </c>
      <c r="F115" s="1"/>
      <c r="G115" s="6">
        <f>G112*G114</f>
        <v>20668.75</v>
      </c>
      <c r="H115" s="6">
        <f>H112*H114</f>
        <v>17105.25</v>
      </c>
      <c r="I115" s="1"/>
      <c r="J115" s="1" t="str">
        <f>A112</f>
        <v>Refinery</v>
      </c>
      <c r="K115" s="4">
        <f>SUM(G115:H115)-SUM(C115:E115)</f>
        <v>21259.1</v>
      </c>
      <c r="L115" s="4">
        <f>SUM(G115:H115)/B112</f>
        <v>75.548000000000002</v>
      </c>
      <c r="M115" s="4">
        <f>K115/B112</f>
        <v>42.5182</v>
      </c>
      <c r="N115" s="3">
        <f>K115/SUM(G115:H115)</f>
        <v>0.56279716206914809</v>
      </c>
      <c r="O115" s="1"/>
      <c r="P115" s="4">
        <v>4157</v>
      </c>
      <c r="Q115" s="5">
        <f>P115/K115*B112</f>
        <v>97.769896185633442</v>
      </c>
    </row>
    <row r="117" spans="1:17" x14ac:dyDescent="0.25">
      <c r="A117" t="s">
        <v>39</v>
      </c>
      <c r="B117">
        <f>VLOOKUP($A117,$A$5:$H$31,2,FALSE)</f>
        <v>5</v>
      </c>
      <c r="C117">
        <f>VLOOKUP($A117,$A$5:$H$31,3,FALSE)</f>
        <v>125</v>
      </c>
      <c r="D117">
        <f>VLOOKUP($A117,$A$5:$H$31,4,FALSE)</f>
        <v>20</v>
      </c>
      <c r="E117">
        <f>VLOOKUP($A117,$A$5:$H$31,5,FALSE)</f>
        <v>15</v>
      </c>
      <c r="G117">
        <f>VLOOKUP($A117,$A$5:$H$31,7,FALSE)</f>
        <v>145</v>
      </c>
      <c r="H117">
        <f>VLOOKUP($A117,$A$5:$H$31,8,FALSE)</f>
        <v>0</v>
      </c>
    </row>
    <row r="118" spans="1:17" x14ac:dyDescent="0.25">
      <c r="A118" s="2" t="s">
        <v>45</v>
      </c>
      <c r="C118" s="4" t="s">
        <v>16</v>
      </c>
      <c r="D118" s="4" t="s">
        <v>29</v>
      </c>
      <c r="E118" s="4" t="s">
        <v>15</v>
      </c>
      <c r="G118" s="4" t="s">
        <v>39</v>
      </c>
    </row>
    <row r="119" spans="1:17" x14ac:dyDescent="0.25">
      <c r="A119" s="2" t="s">
        <v>10</v>
      </c>
      <c r="C119" s="4">
        <f>IF(NOT(ISBLANK(C118)),VLOOKUP(C118,$S$36:$U$65,3,FALSE),0)</f>
        <v>17.61</v>
      </c>
      <c r="D119" s="4">
        <f>IF(NOT(ISBLANK(D118)),VLOOKUP(D118,$S$36:$U$65,3,FALSE),0)</f>
        <v>262.61</v>
      </c>
      <c r="E119" s="4">
        <f>IF(NOT(ISBLANK(E118)),VLOOKUP(E118,$S$36:$U$65,3,FALSE),0)</f>
        <v>5.2</v>
      </c>
      <c r="G119" s="4">
        <f>IF(NOT(ISBLANK(G118)),VLOOKUP(G118,$S$36:$U$65,2,FALSE),0)</f>
        <v>34.14</v>
      </c>
      <c r="H119" s="4">
        <f>IF(NOT(ISBLANK(H118)),VLOOKUP(H118,$S$36:$U$65,2,FALSE),0)</f>
        <v>0</v>
      </c>
    </row>
    <row r="120" spans="1:17" x14ac:dyDescent="0.25">
      <c r="A120" s="2" t="s">
        <v>9</v>
      </c>
      <c r="C120" s="6">
        <f>C119*C117</f>
        <v>2201.25</v>
      </c>
      <c r="D120" s="6">
        <f>D119*D117</f>
        <v>5252.2000000000007</v>
      </c>
      <c r="E120" s="6">
        <f>E119*E117</f>
        <v>78</v>
      </c>
      <c r="F120" s="1"/>
      <c r="G120" s="6">
        <f>G117*G119</f>
        <v>4950.3</v>
      </c>
      <c r="H120" s="6">
        <f>H117*H119</f>
        <v>0</v>
      </c>
      <c r="I120" s="1"/>
      <c r="J120" s="1" t="str">
        <f>A117</f>
        <v>Asphalt</v>
      </c>
      <c r="K120" s="4">
        <f>SUM(G120:H120)-SUM(C120:E120)</f>
        <v>-2581.1500000000005</v>
      </c>
      <c r="L120" s="4">
        <f>SUM(G120:H120)/B117</f>
        <v>990.06000000000006</v>
      </c>
      <c r="M120" s="4">
        <f>K120/B117</f>
        <v>-516.23000000000013</v>
      </c>
      <c r="N120" s="3">
        <f>K120/SUM(G120:H120)</f>
        <v>-0.52141284366604057</v>
      </c>
      <c r="O120" s="1"/>
      <c r="P120" s="4">
        <v>4157</v>
      </c>
      <c r="Q120" s="5">
        <f>P120/K120*B117</f>
        <v>-8.0526122077368605</v>
      </c>
    </row>
    <row r="122" spans="1:17" x14ac:dyDescent="0.25">
      <c r="A122" t="s">
        <v>65</v>
      </c>
      <c r="B122">
        <f>VLOOKUP($A122,$A$5:$H$31,2,FALSE)</f>
        <v>50</v>
      </c>
      <c r="C122">
        <f>VLOOKUP($A122,$A$5:$H$31,3,FALSE)</f>
        <v>10</v>
      </c>
      <c r="D122">
        <f>VLOOKUP($A122,$A$5:$H$31,4,FALSE)</f>
        <v>0</v>
      </c>
      <c r="E122">
        <f>VLOOKUP($A122,$A$5:$H$31,5,FALSE)</f>
        <v>0</v>
      </c>
      <c r="G122">
        <f>VLOOKUP($A122,$A$5:$H$31,7,FALSE)</f>
        <v>5</v>
      </c>
      <c r="H122">
        <f>VLOOKUP($A122,$A$5:$H$31,8,FALSE)</f>
        <v>0</v>
      </c>
    </row>
    <row r="123" spans="1:17" x14ac:dyDescent="0.25">
      <c r="A123" s="2" t="s">
        <v>45</v>
      </c>
      <c r="C123" s="4" t="s">
        <v>18</v>
      </c>
      <c r="G123" s="4" t="s">
        <v>38</v>
      </c>
    </row>
    <row r="124" spans="1:17" x14ac:dyDescent="0.25">
      <c r="A124" s="2" t="s">
        <v>10</v>
      </c>
      <c r="C124" s="4">
        <f>IF(NOT(ISBLANK(C123)),VLOOKUP(C123,$S$36:$U$65,3,FALSE),0)</f>
        <v>22.95</v>
      </c>
      <c r="D124" s="4">
        <f>IF(NOT(ISBLANK(D123)),VLOOKUP(D123,$S$36:$U$65,3,FALSE),0)</f>
        <v>0</v>
      </c>
      <c r="E124" s="4">
        <f>IF(NOT(ISBLANK(E123)),VLOOKUP(E123,$S$36:$U$65,3,FALSE),0)</f>
        <v>0</v>
      </c>
      <c r="G124" s="4">
        <f>IF(NOT(ISBLANK(G123)),VLOOKUP(G123,$S$36:$U$65,2,FALSE),0)</f>
        <v>1617.4</v>
      </c>
      <c r="H124" s="4">
        <f>IF(NOT(ISBLANK(H123)),VLOOKUP(H123,$S$36:$U$65,2,FALSE),0)</f>
        <v>0</v>
      </c>
    </row>
    <row r="125" spans="1:17" x14ac:dyDescent="0.25">
      <c r="A125" s="2" t="s">
        <v>9</v>
      </c>
      <c r="C125" s="6">
        <f>C124*C122</f>
        <v>229.5</v>
      </c>
      <c r="D125" s="6">
        <f>D124*D122</f>
        <v>0</v>
      </c>
      <c r="E125" s="6">
        <f>E124*E122</f>
        <v>0</v>
      </c>
      <c r="F125" s="1"/>
      <c r="G125" s="6">
        <f>G122*G124</f>
        <v>8087</v>
      </c>
      <c r="H125" s="6">
        <f>H122*H124</f>
        <v>0</v>
      </c>
      <c r="I125" s="1"/>
      <c r="J125" s="1" t="str">
        <f>A122</f>
        <v>Livestock Farm</v>
      </c>
      <c r="K125" s="4">
        <f>SUM(G125:H125)-SUM(C125:E125)</f>
        <v>7857.5</v>
      </c>
      <c r="L125" s="4">
        <f>SUM(G125:H125)/B122</f>
        <v>161.74</v>
      </c>
      <c r="M125" s="4">
        <f>K125/B122</f>
        <v>157.15</v>
      </c>
      <c r="N125" s="3">
        <f>K125/SUM(G125:H125)</f>
        <v>0.97162112031655745</v>
      </c>
      <c r="O125" s="1"/>
      <c r="P125" s="4">
        <v>4157</v>
      </c>
      <c r="Q125" s="5">
        <f>P125/K125*B122</f>
        <v>26.452433980273625</v>
      </c>
    </row>
    <row r="127" spans="1:17" x14ac:dyDescent="0.25">
      <c r="A127" t="s">
        <v>66</v>
      </c>
      <c r="B127">
        <f>VLOOKUP($A127,$A$5:$H$31,2,FALSE)</f>
        <v>50</v>
      </c>
      <c r="C127">
        <f>VLOOKUP($A127,$A$5:$H$31,3,FALSE)</f>
        <v>250</v>
      </c>
      <c r="D127">
        <f>VLOOKUP($A127,$A$5:$H$31,4,FALSE)</f>
        <v>0</v>
      </c>
      <c r="E127">
        <f>VLOOKUP($A127,$A$5:$H$31,5,FALSE)</f>
        <v>0</v>
      </c>
      <c r="G127">
        <f>VLOOKUP($A127,$A$5:$H$31,7,FALSE)</f>
        <v>125</v>
      </c>
      <c r="H127">
        <f>VLOOKUP($A127,$A$5:$H$31,8,FALSE)</f>
        <v>0</v>
      </c>
    </row>
    <row r="128" spans="1:17" x14ac:dyDescent="0.25">
      <c r="A128" s="2" t="s">
        <v>45</v>
      </c>
      <c r="C128" s="4" t="s">
        <v>38</v>
      </c>
      <c r="G128" s="4" t="s">
        <v>37</v>
      </c>
    </row>
    <row r="129" spans="1:17" x14ac:dyDescent="0.25">
      <c r="A129" s="2" t="s">
        <v>10</v>
      </c>
      <c r="C129" s="4">
        <f>IF(NOT(ISBLANK(C128)),VLOOKUP(C128,$S$36:$U$65,3,FALSE),0)</f>
        <v>1798.17</v>
      </c>
      <c r="D129" s="4">
        <f>IF(NOT(ISBLANK(D128)),VLOOKUP(D128,$S$36:$U$65,3,FALSE),0)</f>
        <v>0</v>
      </c>
      <c r="E129" s="4">
        <f>IF(NOT(ISBLANK(E128)),VLOOKUP(E128,$S$36:$U$65,3,FALSE),0)</f>
        <v>0</v>
      </c>
      <c r="G129" s="4">
        <f>IF(NOT(ISBLANK(G128)),VLOOKUP(G128,$S$36:$U$65,2,FALSE),0)</f>
        <v>2347.73</v>
      </c>
      <c r="H129" s="4">
        <f>IF(NOT(ISBLANK(H128)),VLOOKUP(H128,$S$36:$U$65,2,FALSE),0)</f>
        <v>0</v>
      </c>
    </row>
    <row r="130" spans="1:17" x14ac:dyDescent="0.25">
      <c r="A130" s="2" t="s">
        <v>9</v>
      </c>
      <c r="C130" s="6">
        <f>C129*C127</f>
        <v>449542.5</v>
      </c>
      <c r="D130" s="6">
        <f>D129*D127</f>
        <v>0</v>
      </c>
      <c r="E130" s="6">
        <f>E129*E127</f>
        <v>0</v>
      </c>
      <c r="F130" s="1"/>
      <c r="G130" s="6">
        <f>G127*G129</f>
        <v>293466.25</v>
      </c>
      <c r="H130" s="6">
        <f>H127*H129</f>
        <v>0</v>
      </c>
      <c r="I130" s="1"/>
      <c r="J130" s="1" t="str">
        <f>A127</f>
        <v>Slaughterhouse</v>
      </c>
      <c r="K130" s="4">
        <f>SUM(G130:H130)-SUM(C130:E130)</f>
        <v>-156076.25</v>
      </c>
      <c r="L130" s="4">
        <f>SUM(G130:H130)/B127</f>
        <v>5869.3249999999998</v>
      </c>
      <c r="M130" s="4">
        <f>K130/B127</f>
        <v>-3121.5250000000001</v>
      </c>
      <c r="N130" s="3">
        <f>K130/SUM(G130:H130)</f>
        <v>-0.5318371362976152</v>
      </c>
      <c r="O130" s="1"/>
      <c r="P130" s="4">
        <v>4157</v>
      </c>
      <c r="Q130" s="5">
        <f>P130/K130*B127</f>
        <v>-1.3317208736114559</v>
      </c>
    </row>
    <row r="132" spans="1:17" x14ac:dyDescent="0.25">
      <c r="A132" t="s">
        <v>8</v>
      </c>
      <c r="B132">
        <f>VLOOKUP($A132,$A$5:$H$31,2,FALSE)</f>
        <v>170</v>
      </c>
      <c r="C132">
        <f>VLOOKUP($A132,$A$5:$H$31,3,FALSE)</f>
        <v>42</v>
      </c>
      <c r="D132">
        <f>VLOOKUP($A132,$A$5:$H$31,4,FALSE)</f>
        <v>0</v>
      </c>
      <c r="E132">
        <f>VLOOKUP($A132,$A$5:$H$31,5,FALSE)</f>
        <v>0</v>
      </c>
      <c r="G132">
        <f>VLOOKUP($A132,$A$5:$H$31,7,FALSE)</f>
        <v>20</v>
      </c>
      <c r="H132">
        <f>VLOOKUP($A132,$A$5:$H$31,8,FALSE)</f>
        <v>0</v>
      </c>
    </row>
    <row r="133" spans="1:17" x14ac:dyDescent="0.25">
      <c r="A133" s="2" t="s">
        <v>45</v>
      </c>
      <c r="C133" s="4" t="s">
        <v>18</v>
      </c>
      <c r="G133" s="4" t="s">
        <v>35</v>
      </c>
    </row>
    <row r="134" spans="1:17" x14ac:dyDescent="0.25">
      <c r="A134" s="2" t="s">
        <v>10</v>
      </c>
      <c r="C134" s="4">
        <f>IF(NOT(ISBLANK(C133)),VLOOKUP(C133,$S$36:$U$65,3,FALSE),0)</f>
        <v>22.95</v>
      </c>
      <c r="D134" s="4">
        <f>IF(NOT(ISBLANK(D133)),VLOOKUP(D133,$S$36:$U$65,3,FALSE),0)</f>
        <v>0</v>
      </c>
      <c r="E134" s="4">
        <f>IF(NOT(ISBLANK(E133)),VLOOKUP(E133,$S$36:$U$65,3,FALSE),0)</f>
        <v>0</v>
      </c>
      <c r="G134" s="4">
        <f>IF(NOT(ISBLANK(G133)),VLOOKUP(G133,$S$36:$U$65,2,FALSE),0)</f>
        <v>113.23</v>
      </c>
      <c r="H134" s="4">
        <f>IF(NOT(ISBLANK(H133)),VLOOKUP(H133,$S$36:$U$65,2,FALSE),0)</f>
        <v>0</v>
      </c>
    </row>
    <row r="135" spans="1:17" x14ac:dyDescent="0.25">
      <c r="A135" s="2" t="s">
        <v>9</v>
      </c>
      <c r="C135" s="6">
        <f>C134*C132</f>
        <v>963.9</v>
      </c>
      <c r="D135" s="6">
        <f t="shared" ref="D135:E135" si="3">D134*D132</f>
        <v>0</v>
      </c>
      <c r="E135" s="6">
        <f t="shared" si="3"/>
        <v>0</v>
      </c>
      <c r="F135" s="1"/>
      <c r="G135" s="6">
        <f>G132*G134</f>
        <v>2264.6</v>
      </c>
      <c r="H135" s="6">
        <f>H132*H134</f>
        <v>0</v>
      </c>
      <c r="I135" s="1"/>
      <c r="J135" s="1" t="str">
        <f>A132</f>
        <v>Food Factory</v>
      </c>
      <c r="K135" s="4">
        <f>SUM(G135:H135)-SUM(C135:E135)</f>
        <v>1300.6999999999998</v>
      </c>
      <c r="L135" s="4">
        <f>SUM(G135:H135)/B132</f>
        <v>13.321176470588235</v>
      </c>
      <c r="M135" s="4">
        <f>K135/B132</f>
        <v>7.6511764705882346</v>
      </c>
      <c r="N135" s="3">
        <f>K135/SUM(G135:H135)</f>
        <v>0.57436191821955307</v>
      </c>
      <c r="O135" s="1"/>
      <c r="P135" s="4">
        <v>4157</v>
      </c>
      <c r="Q135" s="5">
        <f>P135/K135*B132</f>
        <v>543.31513800261405</v>
      </c>
    </row>
    <row r="137" spans="1:17" x14ac:dyDescent="0.25">
      <c r="A137" t="s">
        <v>67</v>
      </c>
      <c r="B137">
        <f>VLOOKUP($A137,$A$5:$H$31,2,FALSE)</f>
        <v>100</v>
      </c>
      <c r="C137">
        <f>VLOOKUP($A137,$A$5:$H$31,3,FALSE)</f>
        <v>30</v>
      </c>
      <c r="D137">
        <f>VLOOKUP($A137,$A$5:$H$31,4,FALSE)</f>
        <v>10</v>
      </c>
      <c r="E137">
        <f>VLOOKUP($A137,$A$5:$H$31,5,FALSE)</f>
        <v>0</v>
      </c>
      <c r="G137">
        <f>VLOOKUP($A137,$A$5:$H$31,7,FALSE)</f>
        <v>6</v>
      </c>
      <c r="H137">
        <f>VLOOKUP($A137,$A$5:$H$31,8,FALSE)</f>
        <v>0</v>
      </c>
    </row>
    <row r="138" spans="1:17" x14ac:dyDescent="0.25">
      <c r="A138" s="2" t="s">
        <v>45</v>
      </c>
      <c r="C138" s="4" t="s">
        <v>18</v>
      </c>
      <c r="D138" s="4" t="s">
        <v>15</v>
      </c>
      <c r="G138" s="4" t="s">
        <v>33</v>
      </c>
    </row>
    <row r="139" spans="1:17" x14ac:dyDescent="0.25">
      <c r="A139" s="2" t="s">
        <v>10</v>
      </c>
      <c r="C139" s="4">
        <f>IF(NOT(ISBLANK(C138)),VLOOKUP(C138,$S$36:$U$65,3,FALSE),0)</f>
        <v>22.95</v>
      </c>
      <c r="D139" s="4">
        <f>IF(NOT(ISBLANK(D138)),VLOOKUP(D138,$S$36:$U$65,3,FALSE),0)</f>
        <v>5.2</v>
      </c>
      <c r="E139" s="4">
        <f>IF(NOT(ISBLANK(E138)),VLOOKUP(E138,$S$36:$U$65,3,FALSE),0)</f>
        <v>0</v>
      </c>
      <c r="G139" s="4">
        <f>IF(NOT(ISBLANK(G138)),VLOOKUP(G138,$S$36:$U$65,2,FALSE),0)</f>
        <v>235.89</v>
      </c>
      <c r="H139" s="4">
        <f>IF(NOT(ISBLANK(H138)),VLOOKUP(H138,$S$36:$U$65,2,FALSE),0)</f>
        <v>0</v>
      </c>
    </row>
    <row r="140" spans="1:17" x14ac:dyDescent="0.25">
      <c r="A140" s="2" t="s">
        <v>9</v>
      </c>
      <c r="C140" s="6">
        <f>C139*C137</f>
        <v>688.5</v>
      </c>
      <c r="D140" s="6">
        <f>D139*D137</f>
        <v>52</v>
      </c>
      <c r="E140" s="6">
        <f>E139*E137</f>
        <v>0</v>
      </c>
      <c r="F140" s="1"/>
      <c r="G140" s="6">
        <f>G137*G139</f>
        <v>1415.34</v>
      </c>
      <c r="H140" s="6">
        <f>H137*H139</f>
        <v>0</v>
      </c>
      <c r="I140" s="1"/>
      <c r="J140" s="1" t="str">
        <f>A137</f>
        <v>Distillery</v>
      </c>
      <c r="K140" s="4">
        <f>SUM(G140:H140)-SUM(C140:E140)</f>
        <v>674.83999999999992</v>
      </c>
      <c r="L140" s="4">
        <f>SUM(G140:H140)/B137</f>
        <v>14.1534</v>
      </c>
      <c r="M140" s="4">
        <f>K140/B137</f>
        <v>6.7483999999999993</v>
      </c>
      <c r="N140" s="3">
        <f>K140/SUM(G140:H140)</f>
        <v>0.47680416013113452</v>
      </c>
      <c r="O140" s="1"/>
      <c r="P140" s="4">
        <v>4157</v>
      </c>
      <c r="Q140" s="5">
        <f>P140/K140*B137</f>
        <v>615.99786616086783</v>
      </c>
    </row>
    <row r="142" spans="1:17" x14ac:dyDescent="0.25">
      <c r="A142" t="s">
        <v>69</v>
      </c>
      <c r="B142">
        <f>VLOOKUP($A142,$A$5:$H$31,2,FALSE)</f>
        <v>50</v>
      </c>
      <c r="C142">
        <f>VLOOKUP($A142,$A$5:$H$31,3,FALSE)</f>
        <v>0.5</v>
      </c>
      <c r="D142">
        <f>VLOOKUP($A142,$A$5:$H$31,4,FALSE)</f>
        <v>0.5</v>
      </c>
      <c r="E142">
        <f>VLOOKUP($A142,$A$5:$H$31,5,FALSE)</f>
        <v>1</v>
      </c>
      <c r="G142">
        <f>VLOOKUP($A142,$A$5:$H$31,7,FALSE)</f>
        <v>0.5</v>
      </c>
      <c r="H142">
        <f>VLOOKUP($A142,$A$5:$H$31,8,FALSE)</f>
        <v>0</v>
      </c>
    </row>
    <row r="143" spans="1:17" x14ac:dyDescent="0.25">
      <c r="A143" s="2" t="s">
        <v>45</v>
      </c>
      <c r="C143" s="4" t="s">
        <v>16</v>
      </c>
      <c r="D143" s="4" t="s">
        <v>22</v>
      </c>
      <c r="E143" s="4" t="s">
        <v>23</v>
      </c>
      <c r="G143" s="4" t="s">
        <v>24</v>
      </c>
    </row>
    <row r="144" spans="1:17" x14ac:dyDescent="0.25">
      <c r="A144" s="2" t="s">
        <v>10</v>
      </c>
      <c r="C144" s="4">
        <f>IF(NOT(ISBLANK(C143)),VLOOKUP(C143,$S$36:$U$65,3,FALSE),0)</f>
        <v>17.61</v>
      </c>
      <c r="D144" s="4">
        <f>IF(NOT(ISBLANK(D143)),VLOOKUP(D143,$S$36:$U$65,3,FALSE),0)</f>
        <v>17.16</v>
      </c>
      <c r="E144" s="4">
        <f>IF(NOT(ISBLANK(E143)),VLOOKUP(E143,$S$36:$U$65,3,FALSE),0)</f>
        <v>65.81</v>
      </c>
      <c r="G144" s="4">
        <f>IF(NOT(ISBLANK(G143)),VLOOKUP(G143,$S$36:$U$65,2,FALSE),0)</f>
        <v>2063.04</v>
      </c>
      <c r="H144" s="4">
        <f>IF(NOT(ISBLANK(H143)),VLOOKUP(H143,$S$36:$U$65,2,FALSE),0)</f>
        <v>0</v>
      </c>
    </row>
    <row r="145" spans="1:17" x14ac:dyDescent="0.25">
      <c r="A145" s="2" t="s">
        <v>9</v>
      </c>
      <c r="C145" s="6">
        <f>C144*C142</f>
        <v>8.8049999999999997</v>
      </c>
      <c r="D145" s="6">
        <f>D144*D142</f>
        <v>8.58</v>
      </c>
      <c r="E145" s="6">
        <f>E144*E142</f>
        <v>65.81</v>
      </c>
      <c r="F145" s="1"/>
      <c r="G145" s="6">
        <f>G142*G144</f>
        <v>1031.52</v>
      </c>
      <c r="H145" s="6">
        <f>H142*H144</f>
        <v>0</v>
      </c>
      <c r="I145" s="1"/>
      <c r="J145" s="1" t="str">
        <f>A142</f>
        <v>Chemical Plant</v>
      </c>
      <c r="K145" s="4">
        <f>SUM(G145:H145)-SUM(C145:E145)</f>
        <v>948.32500000000005</v>
      </c>
      <c r="L145" s="4">
        <f>SUM(G145:H145)/B142</f>
        <v>20.630399999999998</v>
      </c>
      <c r="M145" s="4">
        <f>K145/B142</f>
        <v>18.9665</v>
      </c>
      <c r="N145" s="3">
        <f>K145/SUM(G145:H145)</f>
        <v>0.91934717698154189</v>
      </c>
      <c r="O145" s="1"/>
      <c r="P145" s="4">
        <v>4157</v>
      </c>
      <c r="Q145" s="5">
        <f>P145/K145*B142</f>
        <v>219.17591542983681</v>
      </c>
    </row>
    <row r="147" spans="1:17" x14ac:dyDescent="0.25">
      <c r="A147" t="s">
        <v>70</v>
      </c>
      <c r="B147">
        <f>VLOOKUP($A147,$A$5:$H$31,2,FALSE)</f>
        <v>100</v>
      </c>
      <c r="C147">
        <f>VLOOKUP($A147,$A$5:$H$31,3,FALSE)</f>
        <v>10</v>
      </c>
      <c r="D147">
        <f>VLOOKUP($A147,$A$5:$H$31,4,FALSE)</f>
        <v>35</v>
      </c>
      <c r="E147">
        <f>VLOOKUP($A147,$A$5:$H$31,5,FALSE)</f>
        <v>13</v>
      </c>
      <c r="G147">
        <f>VLOOKUP($A147,$A$5:$H$31,7,FALSE)</f>
        <v>15</v>
      </c>
      <c r="H147">
        <f>VLOOKUP($A147,$A$5:$H$31,8,FALSE)</f>
        <v>0</v>
      </c>
    </row>
    <row r="148" spans="1:17" x14ac:dyDescent="0.25">
      <c r="A148" s="2" t="s">
        <v>45</v>
      </c>
      <c r="C148" s="4" t="s">
        <v>24</v>
      </c>
      <c r="D148" s="4" t="s">
        <v>23</v>
      </c>
      <c r="E148" s="4" t="s">
        <v>15</v>
      </c>
      <c r="G148" s="4" t="s">
        <v>43</v>
      </c>
    </row>
    <row r="149" spans="1:17" x14ac:dyDescent="0.25">
      <c r="A149" s="2" t="s">
        <v>10</v>
      </c>
      <c r="C149" s="4">
        <f>IF(NOT(ISBLANK(C148)),VLOOKUP(C148,$S$36:$U$65,3,FALSE),0)</f>
        <v>2290.73</v>
      </c>
      <c r="D149" s="4">
        <f>IF(NOT(ISBLANK(D148)),VLOOKUP(D148,$S$36:$U$65,3,FALSE),0)</f>
        <v>65.81</v>
      </c>
      <c r="E149" s="4">
        <f>IF(NOT(ISBLANK(E148)),VLOOKUP(E148,$S$36:$U$65,3,FALSE),0)</f>
        <v>5.2</v>
      </c>
      <c r="G149" s="4">
        <f>IF(NOT(ISBLANK(G148)),VLOOKUP(G148,$S$36:$U$65,2,FALSE),0)</f>
        <v>884.16</v>
      </c>
      <c r="H149" s="4">
        <f>IF(NOT(ISBLANK(H148)),VLOOKUP(H148,$S$36:$U$65,2,FALSE),0)</f>
        <v>0</v>
      </c>
    </row>
    <row r="150" spans="1:17" x14ac:dyDescent="0.25">
      <c r="A150" s="2" t="s">
        <v>9</v>
      </c>
      <c r="C150" s="6">
        <f>C149*C147</f>
        <v>22907.3</v>
      </c>
      <c r="D150" s="6">
        <f>D149*D147</f>
        <v>2303.35</v>
      </c>
      <c r="E150" s="6">
        <f>E149*E147</f>
        <v>67.600000000000009</v>
      </c>
      <c r="F150" s="1"/>
      <c r="G150" s="6">
        <f>G147*G149</f>
        <v>13262.4</v>
      </c>
      <c r="H150" s="6">
        <f>H147*H149</f>
        <v>0</v>
      </c>
      <c r="I150" s="1"/>
      <c r="J150" s="1" t="str">
        <f>A147</f>
        <v>Plastics Factory</v>
      </c>
      <c r="K150" s="4">
        <f>SUM(G150:H150)-SUM(C150:E150)</f>
        <v>-12015.849999999997</v>
      </c>
      <c r="L150" s="4">
        <f>SUM(G150:H150)/B147</f>
        <v>132.624</v>
      </c>
      <c r="M150" s="4">
        <f>K150/B147</f>
        <v>-120.15849999999996</v>
      </c>
      <c r="N150" s="3">
        <f>K150/SUM(G150:H150)</f>
        <v>-0.90600871637109404</v>
      </c>
      <c r="O150" s="1"/>
      <c r="P150" s="4">
        <v>4157</v>
      </c>
      <c r="Q150" s="5">
        <f>P150/K150*B147</f>
        <v>-34.595971154766417</v>
      </c>
    </row>
    <row r="152" spans="1:17" x14ac:dyDescent="0.25">
      <c r="A152" t="s">
        <v>32</v>
      </c>
      <c r="B152">
        <f>VLOOKUP($A152,$A$5:$H$31,2,FALSE)</f>
        <v>100</v>
      </c>
      <c r="C152">
        <f>VLOOKUP($A152,$A$5:$H$31,3,FALSE)</f>
        <v>20</v>
      </c>
      <c r="D152">
        <f>VLOOKUP($A152,$A$5:$H$31,4,FALSE)</f>
        <v>0.5</v>
      </c>
      <c r="E152">
        <f>VLOOKUP($A152,$A$5:$H$31,5,FALSE)</f>
        <v>10</v>
      </c>
      <c r="G152">
        <f>VLOOKUP($A152,$A$5:$H$31,7,FALSE)</f>
        <v>5</v>
      </c>
      <c r="H152">
        <f>VLOOKUP($A152,$A$5:$H$31,8,FALSE)</f>
        <v>0</v>
      </c>
    </row>
    <row r="153" spans="1:17" x14ac:dyDescent="0.25">
      <c r="A153" s="2" t="s">
        <v>45</v>
      </c>
      <c r="C153" s="4" t="s">
        <v>18</v>
      </c>
      <c r="D153" s="4" t="s">
        <v>24</v>
      </c>
      <c r="E153" s="4" t="s">
        <v>15</v>
      </c>
      <c r="G153" s="4" t="s">
        <v>32</v>
      </c>
    </row>
    <row r="154" spans="1:17" x14ac:dyDescent="0.25">
      <c r="A154" s="2" t="s">
        <v>10</v>
      </c>
      <c r="C154" s="4">
        <f>IF(NOT(ISBLANK(C153)),VLOOKUP(C153,$S$36:$U$65,3,FALSE),0)</f>
        <v>22.95</v>
      </c>
      <c r="D154" s="4">
        <f>IF(NOT(ISBLANK(D153)),VLOOKUP(D153,$S$36:$U$65,3,FALSE),0)</f>
        <v>2290.73</v>
      </c>
      <c r="E154" s="4">
        <f>IF(NOT(ISBLANK(E153)),VLOOKUP(E153,$S$36:$U$65,3,FALSE),0)</f>
        <v>5.2</v>
      </c>
      <c r="G154" s="4">
        <f>IF(NOT(ISBLANK(G153)),VLOOKUP(G153,$S$36:$U$65,2,FALSE),0)</f>
        <v>336.29</v>
      </c>
      <c r="H154" s="4">
        <f>IF(NOT(ISBLANK(H153)),VLOOKUP(H153,$S$36:$U$65,2,FALSE),0)</f>
        <v>0</v>
      </c>
    </row>
    <row r="155" spans="1:17" x14ac:dyDescent="0.25">
      <c r="A155" s="2" t="s">
        <v>9</v>
      </c>
      <c r="C155" s="6">
        <f>C154*C152</f>
        <v>459</v>
      </c>
      <c r="D155" s="6">
        <f>D154*D152</f>
        <v>1145.365</v>
      </c>
      <c r="E155" s="6">
        <f>E154*E152</f>
        <v>52</v>
      </c>
      <c r="F155" s="1"/>
      <c r="G155" s="6">
        <f>G152*G154</f>
        <v>1681.45</v>
      </c>
      <c r="H155" s="6">
        <f>H152*H154</f>
        <v>0</v>
      </c>
      <c r="I155" s="1"/>
      <c r="J155" s="1" t="str">
        <f>A152</f>
        <v>Fabric</v>
      </c>
      <c r="K155" s="4">
        <f>SUM(G155:H155)-SUM(C155:E155)</f>
        <v>25.085000000000036</v>
      </c>
      <c r="L155" s="4">
        <f>SUM(G155:H155)/B152</f>
        <v>16.814499999999999</v>
      </c>
      <c r="M155" s="4">
        <f>K155/B152</f>
        <v>0.25085000000000035</v>
      </c>
      <c r="N155" s="3">
        <f>K155/SUM(G155:H155)</f>
        <v>1.4918671384816697E-2</v>
      </c>
      <c r="O155" s="1"/>
      <c r="P155" s="4">
        <v>4157</v>
      </c>
      <c r="Q155" s="5">
        <f>P155/K155*B152</f>
        <v>16571.656368347594</v>
      </c>
    </row>
    <row r="156" spans="1:17" x14ac:dyDescent="0.25">
      <c r="A156" s="2"/>
      <c r="C156" s="6"/>
      <c r="D156" s="6"/>
      <c r="E156" s="6"/>
      <c r="F156" s="1"/>
      <c r="G156" s="6"/>
      <c r="H156" s="6"/>
      <c r="I156" s="1"/>
      <c r="J156" s="1"/>
      <c r="O156" s="1"/>
    </row>
    <row r="157" spans="1:17" x14ac:dyDescent="0.25">
      <c r="A157" t="s">
        <v>71</v>
      </c>
      <c r="B157">
        <f>VLOOKUP($A157,$A$5:$H$31,2,FALSE)</f>
        <v>150</v>
      </c>
      <c r="C157">
        <f>VLOOKUP($A157,$A$5:$H$31,3,FALSE)</f>
        <v>22</v>
      </c>
      <c r="D157">
        <f>VLOOKUP($A157,$A$5:$H$31,4,FALSE)</f>
        <v>0</v>
      </c>
      <c r="E157">
        <f>VLOOKUP($A157,$A$5:$H$31,5,FALSE)</f>
        <v>0</v>
      </c>
      <c r="G157">
        <f>VLOOKUP($A157,$A$5:$H$31,7,FALSE)</f>
        <v>15</v>
      </c>
      <c r="H157">
        <f>VLOOKUP($A157,$A$5:$H$31,8,FALSE)</f>
        <v>0</v>
      </c>
    </row>
    <row r="158" spans="1:17" x14ac:dyDescent="0.25">
      <c r="A158" s="2" t="s">
        <v>45</v>
      </c>
      <c r="C158" s="4" t="s">
        <v>19</v>
      </c>
      <c r="G158" s="4" t="s">
        <v>42</v>
      </c>
    </row>
    <row r="159" spans="1:17" x14ac:dyDescent="0.25">
      <c r="A159" s="2" t="s">
        <v>10</v>
      </c>
      <c r="C159" s="4">
        <f>IF(NOT(ISBLANK(C158)),VLOOKUP(C158,$S$36:$U$65,3,FALSE),0)</f>
        <v>1275.82</v>
      </c>
      <c r="D159" s="4">
        <f>IF(NOT(ISBLANK(D158)),VLOOKUP(D158,$S$36:$U$65,3,FALSE),0)</f>
        <v>0</v>
      </c>
      <c r="E159" s="4">
        <f>IF(NOT(ISBLANK(E158)),VLOOKUP(E158,$S$36:$U$65,3,FALSE),0)</f>
        <v>0</v>
      </c>
      <c r="G159" s="4">
        <f>IF(NOT(ISBLANK(G158)),VLOOKUP(G158,$S$36:$U$65,2,FALSE),0)</f>
        <v>1797.31</v>
      </c>
      <c r="H159" s="4">
        <f>IF(NOT(ISBLANK(H158)),VLOOKUP(H158,$S$36:$U$65,2,FALSE),0)</f>
        <v>0</v>
      </c>
    </row>
    <row r="160" spans="1:17" x14ac:dyDescent="0.25">
      <c r="A160" s="2" t="s">
        <v>9</v>
      </c>
      <c r="C160" s="6">
        <f>C159*C157</f>
        <v>28068.039999999997</v>
      </c>
      <c r="D160" s="6">
        <f>D159*D157</f>
        <v>0</v>
      </c>
      <c r="E160" s="6">
        <f>E159*E157</f>
        <v>0</v>
      </c>
      <c r="F160" s="1"/>
      <c r="G160" s="6">
        <f>G157*G159</f>
        <v>26959.649999999998</v>
      </c>
      <c r="H160" s="6">
        <f>H157*H159</f>
        <v>0</v>
      </c>
      <c r="I160" s="1"/>
      <c r="J160" s="1" t="str">
        <f>A157</f>
        <v>Mech Component</v>
      </c>
      <c r="K160" s="4">
        <f>SUM(G160:H160)-SUM(C160:E160)</f>
        <v>-1108.3899999999994</v>
      </c>
      <c r="L160" s="4">
        <f>SUM(G160:H160)/B157</f>
        <v>179.73099999999999</v>
      </c>
      <c r="M160" s="4">
        <f>K160/B157</f>
        <v>-7.3892666666666624</v>
      </c>
      <c r="N160" s="3">
        <f>K160/SUM(G160:H160)</f>
        <v>-4.1112922460046754E-2</v>
      </c>
      <c r="O160" s="1"/>
      <c r="P160" s="4">
        <v>4157</v>
      </c>
      <c r="Q160" s="5">
        <f>P160/K160*B157</f>
        <v>-562.57274064183218</v>
      </c>
    </row>
    <row r="162" spans="1:17" x14ac:dyDescent="0.25">
      <c r="A162" t="s">
        <v>72</v>
      </c>
      <c r="B162">
        <f>VLOOKUP($A162,$A$5:$H$31,2,FALSE)</f>
        <v>150</v>
      </c>
      <c r="C162">
        <f>VLOOKUP($A162,$A$5:$H$31,3,FALSE)</f>
        <v>1.5</v>
      </c>
      <c r="D162">
        <f>VLOOKUP($A162,$A$5:$H$31,4,FALSE)</f>
        <v>1.5</v>
      </c>
      <c r="E162">
        <f>VLOOKUP($A162,$A$5:$H$31,5,FALSE)</f>
        <v>1.2</v>
      </c>
      <c r="G162">
        <f>VLOOKUP($A162,$A$5:$H$31,7,FALSE)</f>
        <v>3.8</v>
      </c>
      <c r="H162">
        <f>VLOOKUP($A162,$A$5:$H$31,8,FALSE)</f>
        <v>0</v>
      </c>
    </row>
    <row r="163" spans="1:17" x14ac:dyDescent="0.25">
      <c r="A163" s="2" t="s">
        <v>45</v>
      </c>
      <c r="C163" s="4" t="s">
        <v>43</v>
      </c>
      <c r="D163" s="4" t="s">
        <v>19</v>
      </c>
      <c r="E163" s="4" t="s">
        <v>24</v>
      </c>
      <c r="G163" s="4" t="s">
        <v>41</v>
      </c>
    </row>
    <row r="164" spans="1:17" x14ac:dyDescent="0.25">
      <c r="A164" s="2" t="s">
        <v>10</v>
      </c>
      <c r="C164" s="4">
        <f>IF(NOT(ISBLANK(C163)),VLOOKUP(C163,$S$36:$U$65,3,FALSE),0)</f>
        <v>987.76</v>
      </c>
      <c r="D164" s="4">
        <f>IF(NOT(ISBLANK(D163)),VLOOKUP(D163,$S$36:$U$65,3,FALSE),0)</f>
        <v>1275.82</v>
      </c>
      <c r="E164" s="4">
        <f>IF(NOT(ISBLANK(E163)),VLOOKUP(E163,$S$36:$U$65,3,FALSE),0)</f>
        <v>2290.73</v>
      </c>
      <c r="G164" s="4">
        <f>IF(NOT(ISBLANK(G163)),VLOOKUP(G163,$S$36:$U$65,2,FALSE),0)</f>
        <v>1682.17</v>
      </c>
      <c r="H164" s="4">
        <f>IF(NOT(ISBLANK(H163)),VLOOKUP(H163,$S$36:$U$65,2,FALSE),0)</f>
        <v>0</v>
      </c>
    </row>
    <row r="165" spans="1:17" x14ac:dyDescent="0.25">
      <c r="A165" s="2" t="s">
        <v>9</v>
      </c>
      <c r="C165" s="6">
        <f>C164*C162</f>
        <v>1481.6399999999999</v>
      </c>
      <c r="D165" s="6">
        <f>D164*D162</f>
        <v>1913.73</v>
      </c>
      <c r="E165" s="6">
        <f>E164*E162</f>
        <v>2748.8759999999997</v>
      </c>
      <c r="F165" s="1"/>
      <c r="G165" s="6">
        <f>G162*G164</f>
        <v>6392.2460000000001</v>
      </c>
      <c r="H165" s="6">
        <f>H162*H164</f>
        <v>0</v>
      </c>
      <c r="I165" s="1"/>
      <c r="J165" s="1" t="str">
        <f>A162</f>
        <v>Elect Comp</v>
      </c>
      <c r="K165" s="4">
        <f>SUM(G165:H165)-SUM(C165:E165)</f>
        <v>248.00000000000091</v>
      </c>
      <c r="L165" s="4">
        <f>SUM(G165:H165)/B162</f>
        <v>42.614973333333332</v>
      </c>
      <c r="M165" s="4">
        <f>K165/B162</f>
        <v>1.6533333333333393</v>
      </c>
      <c r="N165" s="3">
        <f>K165/SUM(G165:H165)</f>
        <v>3.8797004996366048E-2</v>
      </c>
      <c r="O165" s="1"/>
      <c r="P165" s="4">
        <v>4157</v>
      </c>
      <c r="Q165" s="5">
        <f>P165/K165*B162</f>
        <v>2514.3145161290231</v>
      </c>
    </row>
    <row r="167" spans="1:17" x14ac:dyDescent="0.25">
      <c r="A167" t="s">
        <v>73</v>
      </c>
      <c r="B167">
        <f>VLOOKUP($A167,$A$5:$H$31,2,FALSE)</f>
        <v>80</v>
      </c>
      <c r="C167">
        <f>VLOOKUP($A167,$A$5:$H$31,3,FALSE)</f>
        <v>2.4</v>
      </c>
      <c r="D167">
        <f>VLOOKUP($A167,$A$5:$H$31,4,FALSE)</f>
        <v>0</v>
      </c>
      <c r="E167">
        <f>VLOOKUP($A167,$A$5:$H$31,5,FALSE)</f>
        <v>0</v>
      </c>
      <c r="G167">
        <f>VLOOKUP($A167,$A$5:$H$31,7,FALSE)</f>
        <v>1.2</v>
      </c>
      <c r="H167">
        <f>VLOOKUP($A167,$A$5:$H$31,8,FALSE)</f>
        <v>0</v>
      </c>
    </row>
    <row r="168" spans="1:17" x14ac:dyDescent="0.25">
      <c r="A168" s="2" t="s">
        <v>45</v>
      </c>
      <c r="C168" s="4" t="s">
        <v>32</v>
      </c>
      <c r="G168" s="4" t="s">
        <v>36</v>
      </c>
    </row>
    <row r="169" spans="1:17" x14ac:dyDescent="0.25">
      <c r="A169" s="2" t="s">
        <v>10</v>
      </c>
      <c r="C169" s="4">
        <f>IF(NOT(ISBLANK(C168)),VLOOKUP(C168,$S$36:$U$65,3,FALSE),0)</f>
        <v>382.22</v>
      </c>
      <c r="D169" s="4">
        <f>IF(NOT(ISBLANK(D168)),VLOOKUP(D168,$S$36:$U$65,3,FALSE),0)</f>
        <v>0</v>
      </c>
      <c r="E169" s="4">
        <f>IF(NOT(ISBLANK(E168)),VLOOKUP(E168,$S$36:$U$65,3,FALSE),0)</f>
        <v>0</v>
      </c>
      <c r="G169" s="4">
        <f>IF(NOT(ISBLANK(G168)),VLOOKUP(G168,$S$36:$U$65,2,FALSE),0)</f>
        <v>1451.57</v>
      </c>
      <c r="H169" s="4">
        <f>IF(NOT(ISBLANK(H168)),VLOOKUP(H168,$S$36:$U$65,2,FALSE),0)</f>
        <v>0</v>
      </c>
    </row>
    <row r="170" spans="1:17" x14ac:dyDescent="0.25">
      <c r="A170" s="2" t="s">
        <v>9</v>
      </c>
      <c r="C170" s="6">
        <f>C169*C167</f>
        <v>917.32800000000009</v>
      </c>
      <c r="D170" s="6">
        <f>D169*D167</f>
        <v>0</v>
      </c>
      <c r="E170" s="6">
        <f>E169*E167</f>
        <v>0</v>
      </c>
      <c r="F170" s="1"/>
      <c r="G170" s="6">
        <f>G167*G169</f>
        <v>1741.8839999999998</v>
      </c>
      <c r="H170" s="6">
        <f>H167*H169</f>
        <v>0</v>
      </c>
      <c r="I170" s="1"/>
      <c r="J170" s="1" t="str">
        <f>A167</f>
        <v>Clothing Factory</v>
      </c>
      <c r="K170" s="4">
        <f>SUM(G170:H170)-SUM(C170:E170)</f>
        <v>824.5559999999997</v>
      </c>
      <c r="L170" s="4">
        <f>SUM(G170:H170)/B167</f>
        <v>21.773549999999997</v>
      </c>
      <c r="M170" s="4">
        <f>K170/B167</f>
        <v>10.306949999999997</v>
      </c>
      <c r="N170" s="3">
        <f>K170/SUM(G170:H170)</f>
        <v>0.47337021294184906</v>
      </c>
      <c r="O170" s="1"/>
      <c r="P170" s="4">
        <v>4157</v>
      </c>
      <c r="Q170" s="5">
        <f>P170/K170*B167</f>
        <v>403.32008984229105</v>
      </c>
    </row>
    <row r="172" spans="1:17" x14ac:dyDescent="0.25">
      <c r="A172" t="s">
        <v>74</v>
      </c>
      <c r="B172">
        <f>VLOOKUP($A172,$A$5:$H$33,2,FALSE)</f>
        <v>150</v>
      </c>
      <c r="C172">
        <f>VLOOKUP($A172,$A$5:$H$33,3,FALSE)</f>
        <v>1.5</v>
      </c>
      <c r="D172">
        <f>VLOOKUP($A172,$A$5:$H$33,4,FALSE)</f>
        <v>2.2999999999999998</v>
      </c>
      <c r="E172">
        <f>VLOOKUP($A172,$A$5:$H$33,5,FALSE)</f>
        <v>1.5</v>
      </c>
      <c r="G172">
        <f>VLOOKUP($A172,$A$5:$H$33,7,FALSE)</f>
        <v>4.5</v>
      </c>
      <c r="H172">
        <f>VLOOKUP($A172,$A$5:$H$33,8,FALSE)</f>
        <v>0</v>
      </c>
    </row>
    <row r="173" spans="1:17" x14ac:dyDescent="0.25">
      <c r="A173" s="2" t="s">
        <v>45</v>
      </c>
      <c r="C173" s="4" t="s">
        <v>41</v>
      </c>
      <c r="D173" s="4" t="s">
        <v>43</v>
      </c>
      <c r="E173" s="4" t="s">
        <v>42</v>
      </c>
      <c r="G173" s="4" t="s">
        <v>44</v>
      </c>
    </row>
    <row r="174" spans="1:17" x14ac:dyDescent="0.25">
      <c r="A174" s="2" t="s">
        <v>10</v>
      </c>
      <c r="C174" s="4">
        <f>IF(NOT(ISBLANK(C173)),VLOOKUP(C173,$S$36:$U$65,3,FALSE),0)</f>
        <v>1869.77</v>
      </c>
      <c r="D174" s="4">
        <f>IF(NOT(ISBLANK(D173)),VLOOKUP(D173,$S$36:$U$65,3,FALSE),0)</f>
        <v>987.76</v>
      </c>
      <c r="E174" s="4">
        <f>IF(NOT(ISBLANK(E173)),VLOOKUP(E173,$S$36:$U$65,3,FALSE),0)</f>
        <v>1997.02</v>
      </c>
      <c r="G174" s="4">
        <f>IF(NOT(ISBLANK(G173)),VLOOKUP(G173,$S$36:$U$65,2,FALSE),0)</f>
        <v>1871.4</v>
      </c>
      <c r="H174" s="4">
        <f>IF(NOT(ISBLANK(H173)),VLOOKUP(H173,$S$36:$U$65,2,FALSE),0)</f>
        <v>0</v>
      </c>
    </row>
    <row r="175" spans="1:17" x14ac:dyDescent="0.25">
      <c r="A175" s="2" t="s">
        <v>9</v>
      </c>
      <c r="C175" s="6">
        <f>C174*C172</f>
        <v>2804.6549999999997</v>
      </c>
      <c r="D175" s="6">
        <f>D174*D172</f>
        <v>2271.848</v>
      </c>
      <c r="E175" s="6">
        <f>E174*E172</f>
        <v>2995.5299999999997</v>
      </c>
      <c r="F175" s="1"/>
      <c r="G175" s="6">
        <f>G172*G174</f>
        <v>8421.3000000000011</v>
      </c>
      <c r="H175" s="6">
        <f>H172*H174</f>
        <v>0</v>
      </c>
      <c r="I175" s="1"/>
      <c r="J175" s="1" t="str">
        <f>A172</f>
        <v>Elect Assembly</v>
      </c>
      <c r="K175" s="4">
        <f>SUM(G175:H175)-SUM(C175:E175)</f>
        <v>349.26700000000164</v>
      </c>
      <c r="L175" s="4">
        <f>SUM(G175:H175)/B172</f>
        <v>56.14200000000001</v>
      </c>
      <c r="M175" s="4">
        <f>K175/B172</f>
        <v>2.3284466666666774</v>
      </c>
      <c r="N175" s="3">
        <f>K175/SUM(G175:H175)</f>
        <v>4.1474237944260577E-2</v>
      </c>
      <c r="O175" s="1"/>
      <c r="P175" s="4">
        <v>4157</v>
      </c>
      <c r="Q175" s="5">
        <f>P175/K175*B172</f>
        <v>1785.3103785928733</v>
      </c>
    </row>
    <row r="176" spans="1:17" x14ac:dyDescent="0.25">
      <c r="C176" s="7"/>
      <c r="D176" s="7"/>
      <c r="E176" s="7"/>
      <c r="G176" s="7"/>
      <c r="H176" s="7"/>
    </row>
    <row r="177" spans="1:17" x14ac:dyDescent="0.25">
      <c r="A177" t="s">
        <v>77</v>
      </c>
      <c r="B177">
        <f>VLOOKUP($A177,$A$5:$H$33,2,FALSE)</f>
        <v>65</v>
      </c>
      <c r="C177">
        <f>VLOOKUP($A177,$A$5:$H$33,3,FALSE)</f>
        <v>9.75</v>
      </c>
      <c r="D177">
        <f>VLOOKUP($A177,$A$5:$H$33,4,FALSE)</f>
        <v>65</v>
      </c>
      <c r="E177">
        <f>VLOOKUP($A177,$A$5:$H$33,5,FALSE)</f>
        <v>0</v>
      </c>
      <c r="G177">
        <f>VLOOKUP($A177,$A$5:$H$33,7,FALSE)</f>
        <v>71.5</v>
      </c>
      <c r="H177">
        <f>VLOOKUP($A177,$A$5:$H$33,8,FALSE)</f>
        <v>0</v>
      </c>
    </row>
    <row r="178" spans="1:17" x14ac:dyDescent="0.25">
      <c r="A178" s="2" t="s">
        <v>45</v>
      </c>
      <c r="C178" s="4" t="s">
        <v>34</v>
      </c>
      <c r="D178" s="4" t="s">
        <v>16</v>
      </c>
      <c r="G178" s="4" t="s">
        <v>20</v>
      </c>
    </row>
    <row r="179" spans="1:17" x14ac:dyDescent="0.25">
      <c r="A179" s="2" t="s">
        <v>10</v>
      </c>
      <c r="C179" s="4">
        <f>IF(NOT(ISBLANK(C178)),VLOOKUP(C178,$S$36:$U$65,3,FALSE),0)</f>
        <v>87.08</v>
      </c>
      <c r="D179" s="4">
        <f>IF(NOT(ISBLANK(D178)),VLOOKUP(D178,$S$36:$U$65,3,FALSE),0)</f>
        <v>17.61</v>
      </c>
      <c r="E179" s="4">
        <f>IF(NOT(ISBLANK(E178)),VLOOKUP(E178,$S$36:$U$65,3,FALSE),0)</f>
        <v>0</v>
      </c>
      <c r="G179" s="4">
        <f>IF(NOT(ISBLANK(G178)),VLOOKUP(G178,$S$36:$U$65,2,FALSE),0)</f>
        <v>23.96</v>
      </c>
      <c r="H179" s="4">
        <f>IF(NOT(ISBLANK(H178)),VLOOKUP(H178,$S$36:$U$65,2,FALSE),0)</f>
        <v>0</v>
      </c>
    </row>
    <row r="180" spans="1:17" x14ac:dyDescent="0.25">
      <c r="A180" s="2" t="s">
        <v>9</v>
      </c>
      <c r="C180" s="6">
        <f>C179*C177</f>
        <v>849.03</v>
      </c>
      <c r="D180" s="6">
        <f>D179*D177</f>
        <v>1144.6499999999999</v>
      </c>
      <c r="E180" s="6">
        <f>E179*E177</f>
        <v>0</v>
      </c>
      <c r="F180" s="1"/>
      <c r="G180" s="6">
        <f>G177*G179</f>
        <v>1713.14</v>
      </c>
      <c r="H180" s="6">
        <f>H177*H179</f>
        <v>0</v>
      </c>
      <c r="I180" s="1"/>
      <c r="J180" s="1" t="str">
        <f>A177</f>
        <v>Prefab factory</v>
      </c>
      <c r="K180" s="4">
        <f>SUM(G180:H180)-SUM(C180:E180)</f>
        <v>-280.53999999999974</v>
      </c>
      <c r="L180" s="4">
        <f>SUM(G180:H180)/B177</f>
        <v>26.356000000000002</v>
      </c>
      <c r="M180" s="4">
        <f>K180/B177</f>
        <v>-4.3159999999999963</v>
      </c>
      <c r="N180" s="3">
        <f>K180/SUM(G180:H180)</f>
        <v>-0.16375777811504005</v>
      </c>
      <c r="O180" s="1"/>
      <c r="P180" s="4">
        <v>4157</v>
      </c>
      <c r="Q180" s="5">
        <f>P180/K180*B177</f>
        <v>-963.16033364226223</v>
      </c>
    </row>
    <row r="181" spans="1:17" x14ac:dyDescent="0.25">
      <c r="C181" s="7"/>
      <c r="D181" s="7"/>
      <c r="E181" s="7"/>
      <c r="G181" s="7"/>
      <c r="H181" s="7"/>
    </row>
    <row r="182" spans="1:17" x14ac:dyDescent="0.25">
      <c r="A182" s="2"/>
    </row>
    <row r="183" spans="1:17" x14ac:dyDescent="0.25">
      <c r="A183" s="2"/>
    </row>
    <row r="184" spans="1:17" x14ac:dyDescent="0.25">
      <c r="A184" s="2"/>
      <c r="C184" s="6"/>
      <c r="D184" s="6"/>
      <c r="E184" s="6"/>
      <c r="F184" s="1"/>
      <c r="G184" s="6"/>
      <c r="H184" s="6"/>
      <c r="I184" s="1"/>
      <c r="J184" s="1"/>
      <c r="O184" s="1"/>
    </row>
    <row r="186" spans="1:17" x14ac:dyDescent="0.25">
      <c r="C186" s="7"/>
      <c r="D186" s="7"/>
      <c r="E186" s="7"/>
      <c r="G186" s="7"/>
      <c r="H186" s="7"/>
    </row>
    <row r="187" spans="1:17" x14ac:dyDescent="0.25">
      <c r="A187" s="2"/>
    </row>
    <row r="188" spans="1:17" x14ac:dyDescent="0.25">
      <c r="A188" s="2"/>
    </row>
    <row r="189" spans="1:17" x14ac:dyDescent="0.25">
      <c r="A189" s="2"/>
      <c r="C189" s="6"/>
      <c r="D189" s="6"/>
      <c r="E189" s="6"/>
      <c r="F189" s="1"/>
      <c r="G189" s="6"/>
      <c r="H189" s="6"/>
      <c r="I189" s="1"/>
      <c r="J189" s="1"/>
      <c r="O189" s="1"/>
    </row>
    <row r="191" spans="1:17" x14ac:dyDescent="0.25">
      <c r="C191" s="7"/>
      <c r="D191" s="7"/>
      <c r="E191" s="7"/>
      <c r="G191" s="7"/>
      <c r="H191" s="7"/>
    </row>
    <row r="192" spans="1:17" x14ac:dyDescent="0.25">
      <c r="A192" s="2"/>
    </row>
    <row r="193" spans="1:15" x14ac:dyDescent="0.25">
      <c r="A193" s="2"/>
    </row>
    <row r="194" spans="1:15" x14ac:dyDescent="0.25">
      <c r="A194" s="2"/>
      <c r="C194" s="6"/>
      <c r="D194" s="6"/>
      <c r="E194" s="6"/>
      <c r="F194" s="1"/>
      <c r="G194" s="6"/>
      <c r="H194" s="6"/>
      <c r="I194" s="1"/>
      <c r="J194" s="1"/>
      <c r="O194" s="1"/>
    </row>
    <row r="195" spans="1:15" x14ac:dyDescent="0.25">
      <c r="C195" s="7"/>
      <c r="D195" s="7"/>
      <c r="E195" s="7"/>
      <c r="G195" s="7"/>
      <c r="H195" s="7"/>
    </row>
    <row r="196" spans="1:15" x14ac:dyDescent="0.25">
      <c r="A196" s="2"/>
    </row>
    <row r="197" spans="1:15" x14ac:dyDescent="0.25">
      <c r="A197" s="2"/>
    </row>
    <row r="198" spans="1:15" x14ac:dyDescent="0.25">
      <c r="A198" s="2"/>
      <c r="C198" s="6"/>
      <c r="D198" s="6"/>
      <c r="E198" s="6"/>
      <c r="F198" s="1"/>
      <c r="G198" s="6"/>
      <c r="H198" s="6"/>
      <c r="I198" s="1"/>
      <c r="J198" s="1"/>
      <c r="O198" s="1"/>
    </row>
    <row r="200" spans="1:15" x14ac:dyDescent="0.25">
      <c r="C200" s="7"/>
      <c r="D200" s="7"/>
      <c r="E200" s="7"/>
      <c r="G200" s="7"/>
      <c r="H200" s="7"/>
    </row>
    <row r="201" spans="1:15" x14ac:dyDescent="0.25">
      <c r="A201" s="2"/>
    </row>
    <row r="202" spans="1:15" x14ac:dyDescent="0.25">
      <c r="A202" s="2"/>
    </row>
    <row r="203" spans="1:15" x14ac:dyDescent="0.25">
      <c r="A203" s="2"/>
      <c r="C203" s="6"/>
      <c r="D203" s="6"/>
      <c r="E203" s="6"/>
      <c r="F203" s="1"/>
      <c r="G203" s="6"/>
      <c r="H203" s="6"/>
      <c r="I203" s="1"/>
      <c r="J203" s="1"/>
      <c r="O203" s="1"/>
    </row>
    <row r="205" spans="1:15" x14ac:dyDescent="0.25">
      <c r="C205" s="7"/>
      <c r="D205" s="7"/>
      <c r="E205" s="7"/>
      <c r="G205" s="7"/>
      <c r="H205" s="7"/>
    </row>
    <row r="206" spans="1:15" x14ac:dyDescent="0.25">
      <c r="A206" s="2"/>
    </row>
    <row r="207" spans="1:15" x14ac:dyDescent="0.25">
      <c r="A207" s="2"/>
    </row>
    <row r="208" spans="1:15" x14ac:dyDescent="0.25">
      <c r="A208" s="2"/>
      <c r="C208" s="6"/>
      <c r="D208" s="6"/>
      <c r="E208" s="6"/>
      <c r="F208" s="1"/>
      <c r="G208" s="6"/>
      <c r="H208" s="6"/>
      <c r="I208" s="1"/>
      <c r="J208" s="1"/>
      <c r="O208" s="1"/>
    </row>
    <row r="210" spans="1:15" x14ac:dyDescent="0.25">
      <c r="C210" s="7"/>
      <c r="D210" s="7"/>
      <c r="E210" s="7"/>
      <c r="G210" s="7"/>
      <c r="H210" s="7"/>
    </row>
    <row r="211" spans="1:15" x14ac:dyDescent="0.25">
      <c r="A211" s="2"/>
    </row>
    <row r="212" spans="1:15" x14ac:dyDescent="0.25">
      <c r="A212" s="2"/>
    </row>
    <row r="213" spans="1:15" x14ac:dyDescent="0.25">
      <c r="A213" s="2"/>
      <c r="C213" s="6"/>
      <c r="D213" s="6"/>
      <c r="E213" s="6"/>
      <c r="F213" s="1"/>
      <c r="G213" s="6"/>
      <c r="H213" s="6"/>
      <c r="I213" s="1"/>
      <c r="J213" s="1"/>
      <c r="O213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1F66-C646-43B9-A8B1-08702A8A17BB}">
  <dimension ref="A4:Y213"/>
  <sheetViews>
    <sheetView workbookViewId="0">
      <selection activeCell="P33" sqref="P5:P33"/>
    </sheetView>
  </sheetViews>
  <sheetFormatPr defaultRowHeight="15" x14ac:dyDescent="0.25"/>
  <cols>
    <col min="1" max="1" width="16.85546875" bestFit="1" customWidth="1"/>
    <col min="3" max="3" width="11.140625" style="4" bestFit="1" customWidth="1"/>
    <col min="4" max="5" width="10.7109375" style="4" bestFit="1" customWidth="1"/>
    <col min="6" max="6" width="3.28515625" customWidth="1"/>
    <col min="7" max="8" width="11.42578125" style="4" bestFit="1" customWidth="1"/>
    <col min="9" max="9" width="3.42578125" customWidth="1"/>
    <col min="10" max="10" width="24.42578125" customWidth="1"/>
    <col min="11" max="11" width="11.85546875" style="4" bestFit="1" customWidth="1"/>
    <col min="12" max="12" width="14" style="4" bestFit="1" customWidth="1"/>
    <col min="13" max="13" width="15.7109375" style="4" bestFit="1" customWidth="1"/>
    <col min="14" max="14" width="9.85546875" style="3" bestFit="1" customWidth="1"/>
    <col min="15" max="15" width="3.42578125" customWidth="1"/>
    <col min="16" max="16" width="11.140625" style="4" bestFit="1" customWidth="1"/>
    <col min="17" max="17" width="17.5703125" style="5" bestFit="1" customWidth="1"/>
    <col min="19" max="19" width="10.5703125" bestFit="1" customWidth="1"/>
    <col min="20" max="21" width="9.140625" style="4"/>
  </cols>
  <sheetData>
    <row r="4" spans="1:25" x14ac:dyDescent="0.25">
      <c r="B4" t="s">
        <v>1</v>
      </c>
      <c r="C4" s="4" t="s">
        <v>6</v>
      </c>
      <c r="D4" s="4" t="s">
        <v>7</v>
      </c>
      <c r="E4" s="4" t="s">
        <v>46</v>
      </c>
      <c r="G4" s="4" t="s">
        <v>2</v>
      </c>
      <c r="H4" s="4" t="s">
        <v>3</v>
      </c>
      <c r="K4" s="4" t="s">
        <v>11</v>
      </c>
      <c r="L4" s="4" t="s">
        <v>75</v>
      </c>
      <c r="M4" s="4" t="s">
        <v>52</v>
      </c>
      <c r="N4" s="3" t="s">
        <v>12</v>
      </c>
      <c r="P4" s="4" t="s">
        <v>48</v>
      </c>
      <c r="Q4" s="5" t="s">
        <v>49</v>
      </c>
      <c r="X4" s="4"/>
      <c r="Y4" s="4"/>
    </row>
    <row r="5" spans="1:25" x14ac:dyDescent="0.25">
      <c r="A5" t="s">
        <v>0</v>
      </c>
      <c r="B5" s="5">
        <v>30</v>
      </c>
      <c r="C5" s="5"/>
      <c r="D5" s="5"/>
      <c r="E5" s="5"/>
      <c r="F5" s="5"/>
      <c r="G5" s="5">
        <f>6.3*B5</f>
        <v>189</v>
      </c>
      <c r="H5" s="5"/>
      <c r="J5" t="str">
        <f>A5</f>
        <v>Woodcutting post</v>
      </c>
      <c r="K5" s="4">
        <f>VLOOKUP($J5,$J$40:$Q$175,2,FALSE)</f>
        <v>1134</v>
      </c>
      <c r="L5" s="4">
        <f>VLOOKUP($J5,$J$40:$Q$175,3,FALSE)</f>
        <v>37.799999999999997</v>
      </c>
      <c r="M5" s="4">
        <f>VLOOKUP($J5,$J$40:$Q$175,4,FALSE)</f>
        <v>37.799999999999997</v>
      </c>
      <c r="N5" s="3">
        <f>VLOOKUP($J5,$J$40:$Q$175,5,FALSE)</f>
        <v>1</v>
      </c>
      <c r="P5" s="4">
        <f>VLOOKUP($J5,$J$40:$Q$175,7,FALSE)</f>
        <v>4157</v>
      </c>
      <c r="Q5" s="7">
        <f>VLOOKUP($J5,$J$40:$Q$175,8,FALSE)</f>
        <v>109.97354497354497</v>
      </c>
      <c r="X5" s="4"/>
      <c r="Y5" s="4"/>
    </row>
    <row r="6" spans="1:25" x14ac:dyDescent="0.25">
      <c r="A6" t="s">
        <v>47</v>
      </c>
      <c r="B6" s="5">
        <v>20</v>
      </c>
      <c r="C6" s="5">
        <v>180</v>
      </c>
      <c r="D6" s="5"/>
      <c r="E6" s="5"/>
      <c r="G6">
        <v>140</v>
      </c>
      <c r="H6"/>
      <c r="J6" t="str">
        <f t="shared" ref="J6:J33" si="0">A6</f>
        <v>Sawmill</v>
      </c>
      <c r="K6" s="4">
        <f>VLOOKUP($J6,$J$40:$Q$175,2,FALSE)</f>
        <v>1059.4000000000005</v>
      </c>
      <c r="L6" s="4">
        <f>VLOOKUP($J6,$J$40:$Q$175,3,FALSE)</f>
        <v>207.41000000000003</v>
      </c>
      <c r="M6" s="4">
        <f>VLOOKUP($J6,$J$40:$Q$175,4,FALSE)</f>
        <v>52.970000000000027</v>
      </c>
      <c r="N6" s="3">
        <f>VLOOKUP($J6,$J$40:$Q$175,5,FALSE)</f>
        <v>0.25538787908008304</v>
      </c>
      <c r="P6" s="4">
        <f>VLOOKUP($J6,$J$40:$Q$175,7,FALSE)</f>
        <v>21764</v>
      </c>
      <c r="Q6" s="7">
        <f>VLOOKUP($J6,$J$40:$Q$175,8,FALSE)</f>
        <v>410.87407966773628</v>
      </c>
      <c r="X6" s="4"/>
      <c r="Y6" s="4"/>
    </row>
    <row r="7" spans="1:25" x14ac:dyDescent="0.25">
      <c r="A7" t="s">
        <v>90</v>
      </c>
      <c r="B7" s="5">
        <v>1</v>
      </c>
      <c r="C7" s="5"/>
      <c r="D7" s="5"/>
      <c r="E7" s="5"/>
      <c r="G7">
        <v>2.5</v>
      </c>
      <c r="H7"/>
      <c r="J7" t="str">
        <f t="shared" si="0"/>
        <v>Farm</v>
      </c>
      <c r="K7" s="4">
        <f>VLOOKUP($J7,$J$40:$Q$175,2,FALSE)</f>
        <v>28.125</v>
      </c>
      <c r="L7" s="4">
        <f>VLOOKUP($J7,$J$40:$Q$175,3,FALSE)</f>
        <v>28.125</v>
      </c>
      <c r="M7" s="4">
        <f>VLOOKUP($J7,$J$40:$Q$175,4,FALSE)</f>
        <v>28.125</v>
      </c>
      <c r="N7" s="3">
        <f>VLOOKUP($J7,$J$40:$Q$175,5,FALSE)</f>
        <v>1</v>
      </c>
      <c r="P7" s="4">
        <f>VLOOKUP($J7,$J$40:$Q$175,7,FALSE)</f>
        <v>4157</v>
      </c>
      <c r="Q7" s="7">
        <f>VLOOKUP($J7,$J$40:$Q$175,8,FALSE)</f>
        <v>147.80444444444444</v>
      </c>
      <c r="X7" s="4"/>
      <c r="Y7" s="4"/>
    </row>
    <row r="8" spans="1:25" x14ac:dyDescent="0.25">
      <c r="A8" t="s">
        <v>50</v>
      </c>
      <c r="B8" s="5">
        <v>250</v>
      </c>
      <c r="C8" s="5"/>
      <c r="D8" s="5"/>
      <c r="E8" s="5"/>
      <c r="F8" s="5"/>
      <c r="G8" s="5">
        <f>4*B8</f>
        <v>1000</v>
      </c>
      <c r="H8" s="5"/>
      <c r="J8" t="str">
        <f t="shared" si="0"/>
        <v>Iron Mine</v>
      </c>
      <c r="K8" s="4">
        <f>VLOOKUP($J8,$J$40:$Q$175,2,FALSE)</f>
        <v>5000</v>
      </c>
      <c r="L8" s="4">
        <f>VLOOKUP($J8,$J$40:$Q$175,3,FALSE)</f>
        <v>20</v>
      </c>
      <c r="M8" s="4">
        <f>VLOOKUP($J8,$J$40:$Q$175,4,FALSE)</f>
        <v>20</v>
      </c>
      <c r="N8" s="3">
        <f>VLOOKUP($J8,$J$40:$Q$175,5,FALSE)</f>
        <v>1</v>
      </c>
      <c r="P8" s="4">
        <f>VLOOKUP($J8,$J$40:$Q$175,7,FALSE)</f>
        <v>85018</v>
      </c>
      <c r="Q8" s="7">
        <f>VLOOKUP($J8,$J$40:$Q$175,8,FALSE)</f>
        <v>4250.8999999999996</v>
      </c>
      <c r="X8" s="4"/>
      <c r="Y8" s="4"/>
    </row>
    <row r="9" spans="1:25" x14ac:dyDescent="0.25">
      <c r="A9" t="s">
        <v>51</v>
      </c>
      <c r="B9" s="5">
        <v>15</v>
      </c>
      <c r="C9" s="5">
        <v>225</v>
      </c>
      <c r="D9" s="5"/>
      <c r="E9" s="5"/>
      <c r="F9" s="5"/>
      <c r="G9" s="5">
        <v>105</v>
      </c>
      <c r="H9" s="5"/>
      <c r="J9" t="str">
        <f t="shared" si="0"/>
        <v>Iron Processing</v>
      </c>
      <c r="K9" s="4">
        <f>VLOOKUP($J9,$J$40:$Q$175,2,FALSE)</f>
        <v>-209.40000000000009</v>
      </c>
      <c r="L9" s="4">
        <f>VLOOKUP($J9,$J$40:$Q$175,3,FALSE)</f>
        <v>226.94000000000003</v>
      </c>
      <c r="M9" s="4">
        <f>VLOOKUP($J9,$J$40:$Q$175,4,FALSE)</f>
        <v>-13.960000000000006</v>
      </c>
      <c r="N9" s="3">
        <f>VLOOKUP($J9,$J$40:$Q$175,5,FALSE)</f>
        <v>-6.1514056578831432E-2</v>
      </c>
      <c r="P9" s="4">
        <f>VLOOKUP($J9,$J$40:$Q$175,7,FALSE)</f>
        <v>146810</v>
      </c>
      <c r="Q9" s="7">
        <f>VLOOKUP($J9,$J$40:$Q$175,8,FALSE)</f>
        <v>-10516.475644699136</v>
      </c>
      <c r="X9" s="4"/>
      <c r="Y9" s="4"/>
    </row>
    <row r="10" spans="1:25" x14ac:dyDescent="0.25">
      <c r="A10" t="s">
        <v>53</v>
      </c>
      <c r="B10" s="5">
        <v>500</v>
      </c>
      <c r="C10" s="5">
        <v>375</v>
      </c>
      <c r="D10" s="5">
        <v>200</v>
      </c>
      <c r="E10" s="5">
        <v>11</v>
      </c>
      <c r="F10" s="5"/>
      <c r="G10" s="5">
        <v>40</v>
      </c>
      <c r="H10" s="5"/>
      <c r="J10" t="str">
        <f t="shared" si="0"/>
        <v>Steel Mill</v>
      </c>
      <c r="K10" s="4">
        <f>VLOOKUP($J10,$J$40:$Q$175,2,FALSE)</f>
        <v>-7311.3499999999985</v>
      </c>
      <c r="L10" s="4">
        <f>VLOOKUP($J10,$J$40:$Q$175,3,FALSE)</f>
        <v>91.583199999999991</v>
      </c>
      <c r="M10" s="4">
        <f>VLOOKUP($J10,$J$40:$Q$175,4,FALSE)</f>
        <v>-14.622699999999996</v>
      </c>
      <c r="N10" s="3">
        <f>VLOOKUP($J10,$J$40:$Q$175,5,FALSE)</f>
        <v>-0.15966574655613691</v>
      </c>
      <c r="P10" s="4">
        <f>VLOOKUP($J10,$J$40:$Q$175,7,FALSE)</f>
        <v>257030</v>
      </c>
      <c r="Q10" s="7">
        <f>VLOOKUP($J10,$J$40:$Q$175,8,FALSE)</f>
        <v>-17577.465174010274</v>
      </c>
      <c r="X10" s="4"/>
      <c r="Y10" s="4"/>
    </row>
    <row r="11" spans="1:25" x14ac:dyDescent="0.25">
      <c r="A11" t="s">
        <v>54</v>
      </c>
      <c r="B11" s="5">
        <v>220</v>
      </c>
      <c r="C11" s="5">
        <v>0</v>
      </c>
      <c r="D11" s="5"/>
      <c r="E11" s="5"/>
      <c r="F11" s="5"/>
      <c r="G11" s="5">
        <f>4.2*B11</f>
        <v>924</v>
      </c>
      <c r="H11" s="5"/>
      <c r="J11" t="str">
        <f t="shared" si="0"/>
        <v>Coal Mine</v>
      </c>
      <c r="K11" s="4">
        <f>VLOOKUP($J11,$J$40:$Q$175,2,FALSE)</f>
        <v>9350.8799999999992</v>
      </c>
      <c r="L11" s="4">
        <f>VLOOKUP($J11,$J$40:$Q$175,3,FALSE)</f>
        <v>42.503999999999998</v>
      </c>
      <c r="M11" s="4">
        <f>VLOOKUP($J11,$J$40:$Q$175,4,FALSE)</f>
        <v>42.503999999999998</v>
      </c>
      <c r="N11" s="3">
        <f>VLOOKUP($J11,$J$40:$Q$175,5,FALSE)</f>
        <v>1</v>
      </c>
      <c r="P11" s="4">
        <f>VLOOKUP($J11,$J$40:$Q$175,7,FALSE)</f>
        <v>84568</v>
      </c>
      <c r="Q11" s="7">
        <f>VLOOKUP($J11,$J$40:$Q$175,8,FALSE)</f>
        <v>1989.6480331262942</v>
      </c>
    </row>
    <row r="12" spans="1:25" x14ac:dyDescent="0.25">
      <c r="A12" t="s">
        <v>55</v>
      </c>
      <c r="B12" s="8">
        <v>30</v>
      </c>
      <c r="C12" s="5">
        <v>210</v>
      </c>
      <c r="D12" s="5"/>
      <c r="E12" s="5"/>
      <c r="F12" s="5"/>
      <c r="G12" s="8">
        <v>75</v>
      </c>
      <c r="H12" s="5"/>
      <c r="J12" t="str">
        <f t="shared" si="0"/>
        <v>Coal Processing</v>
      </c>
      <c r="K12" s="4">
        <f>VLOOKUP($J12,$J$40:$Q$175,2,FALSE)</f>
        <v>2647.6499999999996</v>
      </c>
      <c r="L12" s="4">
        <f>VLOOKUP($J12,$J$40:$Q$175,3,FALSE)</f>
        <v>240.22499999999999</v>
      </c>
      <c r="M12" s="4">
        <f>VLOOKUP($J12,$J$40:$Q$175,4,FALSE)</f>
        <v>88.254999999999981</v>
      </c>
      <c r="N12" s="3">
        <f>VLOOKUP($J12,$J$40:$Q$175,5,FALSE)</f>
        <v>0.36738474346966382</v>
      </c>
      <c r="P12" s="4">
        <f>VLOOKUP($J12,$J$40:$Q$175,7,FALSE)</f>
        <v>146810</v>
      </c>
      <c r="Q12" s="7">
        <f>VLOOKUP($J12,$J$40:$Q$175,8,FALSE)</f>
        <v>1663.4751572148889</v>
      </c>
    </row>
    <row r="13" spans="1:25" x14ac:dyDescent="0.25">
      <c r="A13" t="s">
        <v>57</v>
      </c>
      <c r="B13" s="5">
        <v>75</v>
      </c>
      <c r="C13" s="5">
        <v>33</v>
      </c>
      <c r="D13" s="5"/>
      <c r="E13" s="5"/>
      <c r="F13" s="5"/>
      <c r="G13" s="5">
        <v>51</v>
      </c>
      <c r="H13" s="5"/>
      <c r="J13" t="str">
        <f t="shared" si="0"/>
        <v>Brick Factory</v>
      </c>
      <c r="K13" s="4">
        <f>VLOOKUP($J13,$J$40:$Q$175,2,FALSE)</f>
        <v>-316.26000000000022</v>
      </c>
      <c r="L13" s="4">
        <f>VLOOKUP($J13,$J$40:$Q$175,3,FALSE)</f>
        <v>47.144399999999997</v>
      </c>
      <c r="M13" s="4">
        <f>VLOOKUP($J13,$J$40:$Q$175,4,FALSE)</f>
        <v>-4.2168000000000028</v>
      </c>
      <c r="N13" s="3">
        <f>VLOOKUP($J13,$J$40:$Q$175,5,FALSE)</f>
        <v>-8.9444345457785082E-2</v>
      </c>
      <c r="P13" s="4">
        <f>VLOOKUP($J13,$J$40:$Q$175,7,FALSE)</f>
        <v>56668</v>
      </c>
      <c r="Q13" s="7">
        <f>VLOOKUP($J13,$J$40:$Q$175,8,FALSE)</f>
        <v>-13438.626446594564</v>
      </c>
    </row>
    <row r="14" spans="1:25" x14ac:dyDescent="0.25">
      <c r="A14" t="s">
        <v>58</v>
      </c>
      <c r="B14" s="8">
        <v>40</v>
      </c>
      <c r="C14" s="5">
        <v>24</v>
      </c>
      <c r="D14" s="5"/>
      <c r="E14" s="5"/>
      <c r="F14" s="5"/>
      <c r="G14" s="8">
        <v>1000</v>
      </c>
      <c r="H14" s="5"/>
      <c r="J14" t="str">
        <f t="shared" si="0"/>
        <v>Coal Power</v>
      </c>
      <c r="K14" s="4">
        <f>VLOOKUP($J14,$J$40:$Q$175,2,FALSE)</f>
        <v>1908.48</v>
      </c>
      <c r="L14" s="4">
        <f>VLOOKUP($J14,$J$40:$Q$175,3,FALSE)</f>
        <v>117.75</v>
      </c>
      <c r="M14" s="4">
        <f>VLOOKUP($J14,$J$40:$Q$175,4,FALSE)</f>
        <v>47.712000000000003</v>
      </c>
      <c r="N14" s="3">
        <f>VLOOKUP($J14,$J$40:$Q$175,5,FALSE)</f>
        <v>0.40519745222929937</v>
      </c>
      <c r="P14" s="4">
        <f>VLOOKUP($J14,$J$40:$Q$175,7,FALSE)</f>
        <v>252962</v>
      </c>
      <c r="Q14" s="7">
        <f>VLOOKUP($J14,$J$40:$Q$175,8,FALSE)</f>
        <v>5301.8527833668677</v>
      </c>
    </row>
    <row r="15" spans="1:25" x14ac:dyDescent="0.25">
      <c r="A15" t="s">
        <v>59</v>
      </c>
      <c r="B15" s="5">
        <v>40</v>
      </c>
      <c r="C15" s="5">
        <v>0</v>
      </c>
      <c r="D15" s="5"/>
      <c r="E15" s="5"/>
      <c r="F15" s="5"/>
      <c r="G15" s="5">
        <f>3.5*40</f>
        <v>140</v>
      </c>
      <c r="H15" s="5"/>
      <c r="J15" t="str">
        <f t="shared" si="0"/>
        <v>Quarry</v>
      </c>
      <c r="K15" s="4">
        <f>VLOOKUP($J15,$J$40:$Q$175,2,FALSE)</f>
        <v>63.000000000000028</v>
      </c>
      <c r="L15" s="4">
        <f>VLOOKUP($J15,$J$40:$Q$175,3,FALSE)</f>
        <v>1.5750000000000006</v>
      </c>
      <c r="M15" s="4">
        <f>VLOOKUP($J15,$J$40:$Q$175,4,FALSE)</f>
        <v>1.5750000000000006</v>
      </c>
      <c r="N15" s="3">
        <f>VLOOKUP($J15,$J$40:$Q$175,5,FALSE)</f>
        <v>1</v>
      </c>
      <c r="P15" s="4">
        <f>VLOOKUP($J15,$J$40:$Q$175,7,FALSE)</f>
        <v>1641</v>
      </c>
      <c r="Q15" s="7">
        <f>VLOOKUP($J15,$J$40:$Q$175,8,FALSE)</f>
        <v>1041.9047619047615</v>
      </c>
    </row>
    <row r="16" spans="1:25" x14ac:dyDescent="0.25">
      <c r="A16" t="s">
        <v>60</v>
      </c>
      <c r="B16" s="5">
        <v>15</v>
      </c>
      <c r="C16" s="5">
        <v>120</v>
      </c>
      <c r="D16" s="5">
        <v>24</v>
      </c>
      <c r="E16" s="5"/>
      <c r="F16" s="5"/>
      <c r="G16" s="5">
        <v>82</v>
      </c>
      <c r="H16" s="5"/>
      <c r="J16" t="str">
        <f t="shared" si="0"/>
        <v>Gravel Plant</v>
      </c>
      <c r="K16" s="4">
        <f>VLOOKUP($J16,$J$40:$Q$175,2,FALSE)</f>
        <v>-921.57999999999981</v>
      </c>
      <c r="L16" s="4">
        <f>VLOOKUP($J16,$J$40:$Q$175,3,FALSE)</f>
        <v>35.041333333333334</v>
      </c>
      <c r="M16" s="4">
        <f>VLOOKUP($J16,$J$40:$Q$175,4,FALSE)</f>
        <v>-61.438666666666656</v>
      </c>
      <c r="N16" s="3">
        <f>VLOOKUP($J16,$J$40:$Q$175,5,FALSE)</f>
        <v>-1.7533198888931163</v>
      </c>
      <c r="P16" s="4">
        <f>VLOOKUP($J16,$J$40:$Q$175,7,FALSE)</f>
        <v>36782</v>
      </c>
      <c r="Q16" s="7">
        <f>VLOOKUP($J16,$J$40:$Q$175,8,FALSE)</f>
        <v>-598.67835673517231</v>
      </c>
    </row>
    <row r="17" spans="1:17" x14ac:dyDescent="0.25">
      <c r="A17" t="s">
        <v>61</v>
      </c>
      <c r="B17" s="5">
        <v>30</v>
      </c>
      <c r="C17" s="5">
        <v>22</v>
      </c>
      <c r="D17" s="5">
        <v>210</v>
      </c>
      <c r="E17" s="5">
        <v>6</v>
      </c>
      <c r="F17" s="5"/>
      <c r="G17" s="5">
        <v>81</v>
      </c>
      <c r="H17" s="5"/>
      <c r="J17" t="str">
        <f t="shared" si="0"/>
        <v>Cement Plant</v>
      </c>
      <c r="K17" s="4">
        <f>VLOOKUP($J17,$J$40:$Q$175,2,FALSE)</f>
        <v>-687.29999999999927</v>
      </c>
      <c r="L17" s="4">
        <f>VLOOKUP($J17,$J$40:$Q$175,3,FALSE)</f>
        <v>187.00200000000001</v>
      </c>
      <c r="M17" s="4">
        <f>VLOOKUP($J17,$J$40:$Q$175,4,FALSE)</f>
        <v>-22.909999999999975</v>
      </c>
      <c r="N17" s="3">
        <f>VLOOKUP($J17,$J$40:$Q$175,5,FALSE)</f>
        <v>-0.12251205869455928</v>
      </c>
      <c r="P17" s="4">
        <f>VLOOKUP($J17,$J$40:$Q$175,7,FALSE)</f>
        <v>203603</v>
      </c>
      <c r="Q17" s="7">
        <f>VLOOKUP($J17,$J$40:$Q$175,8,FALSE)</f>
        <v>-8887.0798777826385</v>
      </c>
    </row>
    <row r="18" spans="1:17" x14ac:dyDescent="0.25">
      <c r="A18" t="s">
        <v>62</v>
      </c>
      <c r="B18" s="5">
        <v>5</v>
      </c>
      <c r="C18" s="5">
        <v>135</v>
      </c>
      <c r="D18" s="5">
        <v>30</v>
      </c>
      <c r="E18" s="5">
        <v>12</v>
      </c>
      <c r="F18" s="5"/>
      <c r="G18" s="5">
        <v>175</v>
      </c>
      <c r="H18" s="5"/>
      <c r="J18" t="str">
        <f t="shared" si="0"/>
        <v>Concrete Plant</v>
      </c>
      <c r="K18" s="4">
        <f>VLOOKUP($J18,$J$40:$Q$175,2,FALSE)</f>
        <v>-3055.3999999999996</v>
      </c>
      <c r="L18" s="4">
        <f>VLOOKUP($J18,$J$40:$Q$175,3,FALSE)</f>
        <v>399.35</v>
      </c>
      <c r="M18" s="4">
        <f>VLOOKUP($J18,$J$40:$Q$175,4,FALSE)</f>
        <v>-611.07999999999993</v>
      </c>
      <c r="N18" s="3">
        <f>VLOOKUP($J18,$J$40:$Q$175,5,FALSE)</f>
        <v>-1.5301865531488668</v>
      </c>
      <c r="P18" s="4">
        <f>VLOOKUP($J18,$J$40:$Q$175,7,FALSE)</f>
        <v>34720</v>
      </c>
      <c r="Q18" s="7">
        <f>VLOOKUP($J18,$J$40:$Q$175,8,FALSE)</f>
        <v>-56.817437978660735</v>
      </c>
    </row>
    <row r="19" spans="1:17" x14ac:dyDescent="0.25">
      <c r="A19" t="s">
        <v>63</v>
      </c>
      <c r="B19" s="5">
        <v>1</v>
      </c>
      <c r="C19" s="5">
        <v>3.9</v>
      </c>
      <c r="D19" s="5"/>
      <c r="E19" s="5"/>
      <c r="F19" s="5"/>
      <c r="G19" s="8">
        <v>3.5</v>
      </c>
      <c r="H19" s="5"/>
      <c r="J19" t="str">
        <f t="shared" si="0"/>
        <v>Oil rig</v>
      </c>
      <c r="K19" s="4">
        <f>VLOOKUP($J19,$J$40:$Q$175,2,FALSE)</f>
        <v>154.79000000000002</v>
      </c>
      <c r="L19" s="4">
        <f>VLOOKUP($J19,$J$40:$Q$175,3,FALSE)</f>
        <v>175.07000000000002</v>
      </c>
      <c r="M19" s="4">
        <f>VLOOKUP($J19,$J$40:$Q$175,4,FALSE)</f>
        <v>154.79000000000002</v>
      </c>
      <c r="N19" s="3">
        <f>VLOOKUP($J19,$J$40:$Q$175,5,FALSE)</f>
        <v>0.8841606214656994</v>
      </c>
      <c r="P19" s="4">
        <f>VLOOKUP($J19,$J$40:$Q$175,7,FALSE)</f>
        <v>6069</v>
      </c>
      <c r="Q19" s="7">
        <f>VLOOKUP($J19,$J$40:$Q$175,8,FALSE)</f>
        <v>39.207959170489048</v>
      </c>
    </row>
    <row r="20" spans="1:17" x14ac:dyDescent="0.25">
      <c r="A20" t="s">
        <v>64</v>
      </c>
      <c r="B20" s="5">
        <v>500</v>
      </c>
      <c r="C20" s="5">
        <v>250</v>
      </c>
      <c r="D20" s="5">
        <v>12</v>
      </c>
      <c r="E20" s="5"/>
      <c r="F20" s="5"/>
      <c r="G20" s="8">
        <v>100</v>
      </c>
      <c r="H20" s="8">
        <v>60</v>
      </c>
      <c r="J20" t="str">
        <f t="shared" si="0"/>
        <v>Refinery</v>
      </c>
      <c r="K20" s="4">
        <f>VLOOKUP($J20,$J$40:$Q$175,2,FALSE)</f>
        <v>13704.299999999996</v>
      </c>
      <c r="L20" s="4">
        <f>VLOOKUP($J20,$J$40:$Q$175,3,FALSE)</f>
        <v>60.438399999999994</v>
      </c>
      <c r="M20" s="4">
        <f>VLOOKUP($J20,$J$40:$Q$175,4,FALSE)</f>
        <v>27.408599999999993</v>
      </c>
      <c r="N20" s="3">
        <f>VLOOKUP($J20,$J$40:$Q$175,5,FALSE)</f>
        <v>0.45349645258643501</v>
      </c>
      <c r="P20" s="4">
        <f>VLOOKUP($J20,$J$40:$Q$175,7,FALSE)</f>
        <v>296868</v>
      </c>
      <c r="Q20" s="7">
        <f>VLOOKUP($J20,$J$40:$Q$175,8,FALSE)</f>
        <v>10831.198966747668</v>
      </c>
    </row>
    <row r="21" spans="1:17" x14ac:dyDescent="0.25">
      <c r="A21" t="s">
        <v>39</v>
      </c>
      <c r="B21" s="5">
        <v>5</v>
      </c>
      <c r="C21" s="5">
        <v>125</v>
      </c>
      <c r="D21" s="5">
        <v>20</v>
      </c>
      <c r="E21" s="5">
        <v>15</v>
      </c>
      <c r="F21" s="5"/>
      <c r="G21" s="5">
        <v>145</v>
      </c>
      <c r="H21" s="5"/>
      <c r="J21" t="str">
        <f t="shared" si="0"/>
        <v>Asphalt</v>
      </c>
      <c r="K21" s="4">
        <f>VLOOKUP($J21,$J$40:$Q$175,2,FALSE)</f>
        <v>-2581.1500000000005</v>
      </c>
      <c r="L21" s="4">
        <f>VLOOKUP($J21,$J$40:$Q$175,3,FALSE)</f>
        <v>990.06000000000006</v>
      </c>
      <c r="M21" s="4">
        <f>VLOOKUP($J21,$J$40:$Q$175,4,FALSE)</f>
        <v>-516.23000000000013</v>
      </c>
      <c r="N21" s="3">
        <f>VLOOKUP($J21,$J$40:$Q$175,5,FALSE)</f>
        <v>-0.52141284366604057</v>
      </c>
      <c r="P21" s="4">
        <f>VLOOKUP($J21,$J$40:$Q$175,7,FALSE)</f>
        <v>38940</v>
      </c>
      <c r="Q21" s="7">
        <f>VLOOKUP($J21,$J$40:$Q$175,8,FALSE)</f>
        <v>-75.431493714042176</v>
      </c>
    </row>
    <row r="22" spans="1:17" x14ac:dyDescent="0.25">
      <c r="A22" t="s">
        <v>65</v>
      </c>
      <c r="B22" s="5">
        <v>50</v>
      </c>
      <c r="C22" s="5">
        <v>10</v>
      </c>
      <c r="D22" s="5"/>
      <c r="E22" s="5"/>
      <c r="F22" s="5"/>
      <c r="G22" s="8">
        <v>3</v>
      </c>
      <c r="H22" s="5"/>
      <c r="J22" t="str">
        <f t="shared" si="0"/>
        <v>Livestock Farm</v>
      </c>
      <c r="K22" s="4">
        <f>VLOOKUP($J22,$J$40:$Q$175,2,FALSE)</f>
        <v>4622.7000000000007</v>
      </c>
      <c r="L22" s="4">
        <f>VLOOKUP($J22,$J$40:$Q$175,3,FALSE)</f>
        <v>97.044000000000011</v>
      </c>
      <c r="M22" s="4">
        <f>VLOOKUP($J22,$J$40:$Q$175,4,FALSE)</f>
        <v>92.454000000000008</v>
      </c>
      <c r="N22" s="3">
        <f>VLOOKUP($J22,$J$40:$Q$175,5,FALSE)</f>
        <v>0.95270186719426242</v>
      </c>
      <c r="P22" s="4">
        <f>VLOOKUP($J22,$J$40:$Q$175,7,FALSE)</f>
        <v>47934</v>
      </c>
      <c r="Q22" s="7">
        <f>VLOOKUP($J22,$J$40:$Q$175,8,FALSE)</f>
        <v>518.46323577130238</v>
      </c>
    </row>
    <row r="23" spans="1:17" x14ac:dyDescent="0.25">
      <c r="A23" t="s">
        <v>66</v>
      </c>
      <c r="B23" s="5">
        <v>50</v>
      </c>
      <c r="C23" s="5">
        <v>250</v>
      </c>
      <c r="D23" s="5"/>
      <c r="E23" s="5"/>
      <c r="F23" s="5"/>
      <c r="G23" s="5">
        <v>125</v>
      </c>
      <c r="H23" s="5"/>
      <c r="J23" t="str">
        <f t="shared" si="0"/>
        <v>Slaughterhouse</v>
      </c>
      <c r="K23" s="4">
        <f>VLOOKUP($J23,$J$40:$Q$175,2,FALSE)</f>
        <v>-156076.25</v>
      </c>
      <c r="L23" s="4">
        <f>VLOOKUP($J23,$J$40:$Q$175,3,FALSE)</f>
        <v>5869.3249999999998</v>
      </c>
      <c r="M23" s="4">
        <f>VLOOKUP($J23,$J$40:$Q$175,4,FALSE)</f>
        <v>-3121.5250000000001</v>
      </c>
      <c r="N23" s="3">
        <f>VLOOKUP($J23,$J$40:$Q$175,5,FALSE)</f>
        <v>-0.5318371362976152</v>
      </c>
      <c r="P23" s="4">
        <f>VLOOKUP($J23,$J$40:$Q$175,7,FALSE)</f>
        <v>35621</v>
      </c>
      <c r="Q23" s="7">
        <f>VLOOKUP($J23,$J$40:$Q$175,8,FALSE)</f>
        <v>-11.411409487349932</v>
      </c>
    </row>
    <row r="24" spans="1:17" x14ac:dyDescent="0.25">
      <c r="A24" t="s">
        <v>8</v>
      </c>
      <c r="B24" s="5">
        <v>170</v>
      </c>
      <c r="C24" s="5">
        <v>42</v>
      </c>
      <c r="D24" s="5"/>
      <c r="E24" s="5"/>
      <c r="F24" s="5"/>
      <c r="G24" s="5">
        <v>20</v>
      </c>
      <c r="H24" s="5"/>
      <c r="J24" t="str">
        <f t="shared" si="0"/>
        <v>Food Factory</v>
      </c>
      <c r="K24" s="4">
        <f>VLOOKUP($J24,$J$40:$Q$175,2,FALSE)</f>
        <v>1300.6999999999998</v>
      </c>
      <c r="L24" s="4">
        <f>VLOOKUP($J24,$J$40:$Q$175,3,FALSE)</f>
        <v>13.321176470588235</v>
      </c>
      <c r="M24" s="4">
        <f>VLOOKUP($J24,$J$40:$Q$175,4,FALSE)</f>
        <v>7.6511764705882346</v>
      </c>
      <c r="N24" s="3">
        <f>VLOOKUP($J24,$J$40:$Q$175,5,FALSE)</f>
        <v>0.57436191821955307</v>
      </c>
      <c r="P24" s="4">
        <f>VLOOKUP($J24,$J$40:$Q$175,7,FALSE)</f>
        <v>71504</v>
      </c>
      <c r="Q24" s="7">
        <f>VLOOKUP($J24,$J$40:$Q$175,8,FALSE)</f>
        <v>9345.4908895210283</v>
      </c>
    </row>
    <row r="25" spans="1:17" x14ac:dyDescent="0.25">
      <c r="A25" t="s">
        <v>67</v>
      </c>
      <c r="B25" s="5">
        <v>100</v>
      </c>
      <c r="C25" s="5">
        <v>30</v>
      </c>
      <c r="D25" s="5">
        <v>10</v>
      </c>
      <c r="E25" s="5"/>
      <c r="F25" s="5"/>
      <c r="G25" s="5">
        <v>6</v>
      </c>
      <c r="H25" s="5"/>
      <c r="J25" t="str">
        <f t="shared" si="0"/>
        <v>Distillery</v>
      </c>
      <c r="K25" s="4">
        <f>VLOOKUP($J25,$J$40:$Q$175,2,FALSE)</f>
        <v>674.83999999999992</v>
      </c>
      <c r="L25" s="4">
        <f>VLOOKUP($J25,$J$40:$Q$175,3,FALSE)</f>
        <v>14.1534</v>
      </c>
      <c r="M25" s="4">
        <f>VLOOKUP($J25,$J$40:$Q$175,4,FALSE)</f>
        <v>6.7483999999999993</v>
      </c>
      <c r="N25" s="3">
        <f>VLOOKUP($J25,$J$40:$Q$175,5,FALSE)</f>
        <v>0.47680416013113452</v>
      </c>
      <c r="P25" s="4">
        <f>VLOOKUP($J25,$J$40:$Q$175,7,FALSE)</f>
        <v>37951</v>
      </c>
      <c r="Q25" s="7">
        <f>VLOOKUP($J25,$J$40:$Q$175,8,FALSE)</f>
        <v>5623.7033963606191</v>
      </c>
    </row>
    <row r="26" spans="1:17" x14ac:dyDescent="0.25">
      <c r="A26" t="s">
        <v>69</v>
      </c>
      <c r="B26" s="5">
        <v>50</v>
      </c>
      <c r="C26" s="5">
        <v>0.5</v>
      </c>
      <c r="D26" s="5">
        <v>0.5</v>
      </c>
      <c r="E26" s="5">
        <v>1</v>
      </c>
      <c r="F26" s="5"/>
      <c r="G26" s="5">
        <v>0.5</v>
      </c>
      <c r="H26" s="5"/>
      <c r="J26" t="str">
        <f t="shared" si="0"/>
        <v>Chemical Plant</v>
      </c>
      <c r="K26" s="4">
        <f>VLOOKUP($J26,$J$40:$Q$175,2,FALSE)</f>
        <v>948.32500000000005</v>
      </c>
      <c r="L26" s="4">
        <f>VLOOKUP($J26,$J$40:$Q$175,3,FALSE)</f>
        <v>20.630399999999998</v>
      </c>
      <c r="M26" s="4">
        <f>VLOOKUP($J26,$J$40:$Q$175,4,FALSE)</f>
        <v>18.9665</v>
      </c>
      <c r="N26" s="3">
        <f>VLOOKUP($J26,$J$40:$Q$175,5,FALSE)</f>
        <v>0.91934717698154189</v>
      </c>
      <c r="P26" s="4">
        <f>VLOOKUP($J26,$J$40:$Q$175,7,FALSE)</f>
        <v>0</v>
      </c>
      <c r="Q26" s="7">
        <f>VLOOKUP($J26,$J$40:$Q$175,8,FALSE)</f>
        <v>0</v>
      </c>
    </row>
    <row r="27" spans="1:17" x14ac:dyDescent="0.25">
      <c r="A27" t="s">
        <v>70</v>
      </c>
      <c r="B27" s="5">
        <v>100</v>
      </c>
      <c r="C27" s="5">
        <v>10</v>
      </c>
      <c r="D27" s="5">
        <v>35</v>
      </c>
      <c r="E27" s="5">
        <v>13</v>
      </c>
      <c r="F27" s="5"/>
      <c r="G27" s="5">
        <v>15</v>
      </c>
      <c r="H27" s="5"/>
      <c r="J27" t="str">
        <f t="shared" si="0"/>
        <v>Plastics Factory</v>
      </c>
      <c r="K27" s="4">
        <f>VLOOKUP($J27,$J$40:$Q$175,2,FALSE)</f>
        <v>-12015.849999999997</v>
      </c>
      <c r="L27" s="4">
        <f>VLOOKUP($J27,$J$40:$Q$175,3,FALSE)</f>
        <v>132.624</v>
      </c>
      <c r="M27" s="4">
        <f>VLOOKUP($J27,$J$40:$Q$175,4,FALSE)</f>
        <v>-120.15849999999996</v>
      </c>
      <c r="N27" s="3">
        <f>VLOOKUP($J27,$J$40:$Q$175,5,FALSE)</f>
        <v>-0.90600871637109404</v>
      </c>
      <c r="P27" s="4">
        <f>VLOOKUP($J27,$J$40:$Q$175,7,FALSE)</f>
        <v>33226</v>
      </c>
      <c r="Q27" s="7">
        <f>VLOOKUP($J27,$J$40:$Q$175,8,FALSE)</f>
        <v>-276.51809901088984</v>
      </c>
    </row>
    <row r="28" spans="1:17" x14ac:dyDescent="0.25">
      <c r="A28" t="s">
        <v>32</v>
      </c>
      <c r="B28" s="5">
        <v>100</v>
      </c>
      <c r="C28" s="5">
        <v>20</v>
      </c>
      <c r="D28" s="5">
        <v>0.5</v>
      </c>
      <c r="E28" s="5">
        <v>10</v>
      </c>
      <c r="F28" s="5"/>
      <c r="G28" s="5">
        <v>5</v>
      </c>
      <c r="H28" s="5"/>
      <c r="J28" t="str">
        <f t="shared" si="0"/>
        <v>Fabric</v>
      </c>
      <c r="K28" s="4">
        <f>VLOOKUP($J28,$J$40:$Q$175,2,FALSE)</f>
        <v>25.085000000000036</v>
      </c>
      <c r="L28" s="4">
        <f>VLOOKUP($J28,$J$40:$Q$175,3,FALSE)</f>
        <v>16.814499999999999</v>
      </c>
      <c r="M28" s="4">
        <f>VLOOKUP($J28,$J$40:$Q$175,4,FALSE)</f>
        <v>0.25085000000000035</v>
      </c>
      <c r="N28" s="3">
        <f>VLOOKUP($J28,$J$40:$Q$175,5,FALSE)</f>
        <v>1.4918671384816697E-2</v>
      </c>
      <c r="P28" s="4">
        <f>VLOOKUP($J28,$J$40:$Q$175,7,FALSE)</f>
        <v>35900</v>
      </c>
      <c r="Q28" s="7">
        <f>VLOOKUP($J28,$J$40:$Q$175,8,FALSE)</f>
        <v>143113.41439107017</v>
      </c>
    </row>
    <row r="29" spans="1:17" x14ac:dyDescent="0.25">
      <c r="A29" t="s">
        <v>71</v>
      </c>
      <c r="B29" s="5">
        <v>150</v>
      </c>
      <c r="C29" s="5">
        <v>22</v>
      </c>
      <c r="D29" s="5"/>
      <c r="E29" s="5"/>
      <c r="F29" s="5"/>
      <c r="G29" s="5">
        <v>15</v>
      </c>
      <c r="H29" s="5"/>
      <c r="J29" t="str">
        <f t="shared" si="0"/>
        <v>Mech Component</v>
      </c>
      <c r="K29" s="4">
        <f>VLOOKUP($J29,$J$40:$Q$175,2,FALSE)</f>
        <v>-1108.3899999999994</v>
      </c>
      <c r="L29" s="4">
        <f>VLOOKUP($J29,$J$40:$Q$175,3,FALSE)</f>
        <v>179.73099999999999</v>
      </c>
      <c r="M29" s="4">
        <f>VLOOKUP($J29,$J$40:$Q$175,4,FALSE)</f>
        <v>-7.3892666666666624</v>
      </c>
      <c r="N29" s="3">
        <f>VLOOKUP($J29,$J$40:$Q$175,5,FALSE)</f>
        <v>-4.1112922460046754E-2</v>
      </c>
      <c r="P29" s="4">
        <f>VLOOKUP($J29,$J$40:$Q$175,7,FALSE)</f>
        <v>0</v>
      </c>
      <c r="Q29" s="7">
        <f>VLOOKUP($J29,$J$40:$Q$175,8,FALSE)</f>
        <v>0</v>
      </c>
    </row>
    <row r="30" spans="1:17" x14ac:dyDescent="0.25">
      <c r="A30" t="s">
        <v>72</v>
      </c>
      <c r="B30" s="5">
        <v>150</v>
      </c>
      <c r="C30" s="5">
        <v>1.5</v>
      </c>
      <c r="D30" s="5">
        <v>1.5</v>
      </c>
      <c r="E30" s="5">
        <v>1.2</v>
      </c>
      <c r="F30" s="5"/>
      <c r="G30" s="5">
        <v>3.8</v>
      </c>
      <c r="H30" s="5"/>
      <c r="J30" t="str">
        <f t="shared" si="0"/>
        <v>Elect Comp</v>
      </c>
      <c r="K30" s="4">
        <f>VLOOKUP($J30,$J$40:$Q$175,2,FALSE)</f>
        <v>248.00000000000091</v>
      </c>
      <c r="L30" s="4">
        <f>VLOOKUP($J30,$J$40:$Q$175,3,FALSE)</f>
        <v>42.614973333333332</v>
      </c>
      <c r="M30" s="4">
        <f>VLOOKUP($J30,$J$40:$Q$175,4,FALSE)</f>
        <v>1.6533333333333393</v>
      </c>
      <c r="N30" s="3">
        <f>VLOOKUP($J30,$J$40:$Q$175,5,FALSE)</f>
        <v>3.8797004996366048E-2</v>
      </c>
      <c r="P30" s="4">
        <f>VLOOKUP($J30,$J$40:$Q$175,7,FALSE)</f>
        <v>0</v>
      </c>
      <c r="Q30" s="7">
        <f>VLOOKUP($J30,$J$40:$Q$175,8,FALSE)</f>
        <v>0</v>
      </c>
    </row>
    <row r="31" spans="1:17" x14ac:dyDescent="0.25">
      <c r="A31" t="s">
        <v>73</v>
      </c>
      <c r="B31" s="5">
        <v>80</v>
      </c>
      <c r="C31" s="5">
        <v>2.4</v>
      </c>
      <c r="D31" s="5"/>
      <c r="E31" s="5"/>
      <c r="F31" s="5"/>
      <c r="G31" s="8">
        <v>0.8</v>
      </c>
      <c r="H31" s="5"/>
      <c r="J31" t="str">
        <f t="shared" si="0"/>
        <v>Clothing Factory</v>
      </c>
      <c r="K31" s="4">
        <f>VLOOKUP($J31,$J$40:$Q$175,2,FALSE)</f>
        <v>243.928</v>
      </c>
      <c r="L31" s="4">
        <f>VLOOKUP($J31,$J$40:$Q$175,3,FALSE)</f>
        <v>14.515700000000001</v>
      </c>
      <c r="M31" s="4">
        <f>VLOOKUP($J31,$J$40:$Q$175,4,FALSE)</f>
        <v>3.0491000000000001</v>
      </c>
      <c r="N31" s="3">
        <f>VLOOKUP($J31,$J$40:$Q$175,5,FALSE)</f>
        <v>0.21005531941277375</v>
      </c>
      <c r="P31" s="4">
        <f>VLOOKUP($J31,$J$40:$Q$175,7,FALSE)</f>
        <v>49231</v>
      </c>
      <c r="Q31" s="7">
        <f>VLOOKUP($J31,$J$40:$Q$175,8,FALSE)</f>
        <v>16146.075891246599</v>
      </c>
    </row>
    <row r="32" spans="1:17" x14ac:dyDescent="0.25">
      <c r="A32" t="s">
        <v>74</v>
      </c>
      <c r="B32" s="5">
        <v>150</v>
      </c>
      <c r="C32" s="5">
        <v>1.5</v>
      </c>
      <c r="D32" s="5">
        <v>2.2999999999999998</v>
      </c>
      <c r="E32" s="5">
        <v>1.5</v>
      </c>
      <c r="F32" s="5"/>
      <c r="G32" s="5">
        <v>4.5</v>
      </c>
      <c r="H32" s="5"/>
      <c r="J32" t="str">
        <f t="shared" si="0"/>
        <v>Elect Assembly</v>
      </c>
      <c r="K32" s="4">
        <f>VLOOKUP($J32,$J$40:$Q$175,2,FALSE)</f>
        <v>349.26700000000164</v>
      </c>
      <c r="L32" s="4">
        <f>VLOOKUP($J32,$J$40:$Q$175,3,FALSE)</f>
        <v>56.14200000000001</v>
      </c>
      <c r="M32" s="4">
        <f>VLOOKUP($J32,$J$40:$Q$175,4,FALSE)</f>
        <v>2.3284466666666774</v>
      </c>
      <c r="N32" s="3">
        <f>VLOOKUP($J32,$J$40:$Q$175,5,FALSE)</f>
        <v>4.1474237944260577E-2</v>
      </c>
      <c r="P32" s="4">
        <f>VLOOKUP($J32,$J$40:$Q$175,7,FALSE)</f>
        <v>0</v>
      </c>
      <c r="Q32" s="7">
        <f>VLOOKUP($J32,$J$40:$Q$175,8,FALSE)</f>
        <v>0</v>
      </c>
    </row>
    <row r="33" spans="1:25" x14ac:dyDescent="0.25">
      <c r="A33" t="s">
        <v>76</v>
      </c>
      <c r="B33" s="5">
        <v>65</v>
      </c>
      <c r="C33" s="5">
        <f>0.15*65</f>
        <v>9.75</v>
      </c>
      <c r="D33" s="5">
        <v>65</v>
      </c>
      <c r="E33" s="5"/>
      <c r="G33" s="7">
        <f>1.1*B33</f>
        <v>71.5</v>
      </c>
      <c r="H33" s="7"/>
      <c r="J33" t="str">
        <f t="shared" si="0"/>
        <v>Prefab Factory</v>
      </c>
      <c r="K33" s="4">
        <f>VLOOKUP($J33,$J$40:$Q$180,2,FALSE)</f>
        <v>-280.53999999999974</v>
      </c>
      <c r="L33" s="4">
        <f>VLOOKUP($J33,$J$40:$Q$180,3,FALSE)</f>
        <v>26.356000000000002</v>
      </c>
      <c r="M33" s="4">
        <f>VLOOKUP($J33,$J$40:$Q$180,4,FALSE)</f>
        <v>-4.3159999999999963</v>
      </c>
      <c r="N33" s="3">
        <f>VLOOKUP($J33,$J$40:$Q$180,5,FALSE)</f>
        <v>-0.16375777811504005</v>
      </c>
      <c r="P33" s="4">
        <f>VLOOKUP($J33,$J$40:$Q$180,7,FALSE)</f>
        <v>36860</v>
      </c>
      <c r="Q33" s="7">
        <f>VLOOKUP($J33,$J$40:$Q$180,8,FALSE)</f>
        <v>-8540.3151065801758</v>
      </c>
      <c r="S33" t="s">
        <v>68</v>
      </c>
      <c r="T33" s="4">
        <v>5</v>
      </c>
    </row>
    <row r="34" spans="1:25" x14ac:dyDescent="0.25">
      <c r="K34" s="4">
        <f>SUM(K5:K33)</f>
        <v>-141100.00000000003</v>
      </c>
      <c r="L34" s="4">
        <f>SUM(L5:L33)</f>
        <v>9391.2904831372525</v>
      </c>
      <c r="M34" s="4">
        <f>SUM(M5:M33)</f>
        <v>-3863.6055268627447</v>
      </c>
    </row>
    <row r="35" spans="1:25" x14ac:dyDescent="0.25">
      <c r="T35" s="4" t="s">
        <v>13</v>
      </c>
      <c r="U35" s="4" t="s">
        <v>14</v>
      </c>
      <c r="X35" s="4" t="s">
        <v>13</v>
      </c>
      <c r="Y35" s="4" t="s">
        <v>14</v>
      </c>
    </row>
    <row r="36" spans="1:25" x14ac:dyDescent="0.25">
      <c r="B36" t="s">
        <v>1</v>
      </c>
      <c r="C36" s="4" t="s">
        <v>6</v>
      </c>
      <c r="D36" s="4" t="s">
        <v>7</v>
      </c>
      <c r="E36" s="4" t="s">
        <v>46</v>
      </c>
      <c r="G36" s="4" t="s">
        <v>2</v>
      </c>
      <c r="H36" s="4" t="s">
        <v>3</v>
      </c>
      <c r="K36" s="4" t="s">
        <v>11</v>
      </c>
      <c r="L36" s="4" t="s">
        <v>75</v>
      </c>
      <c r="M36" s="4" t="s">
        <v>52</v>
      </c>
      <c r="N36" s="3" t="s">
        <v>12</v>
      </c>
      <c r="P36" s="4" t="s">
        <v>48</v>
      </c>
      <c r="Q36" s="5" t="s">
        <v>49</v>
      </c>
      <c r="S36" t="s">
        <v>15</v>
      </c>
      <c r="T36" s="4">
        <v>4.71</v>
      </c>
      <c r="U36" s="4">
        <v>5.2</v>
      </c>
      <c r="W36" t="s">
        <v>15</v>
      </c>
      <c r="X36" s="4">
        <v>4.71</v>
      </c>
      <c r="Y36" s="4">
        <v>5.2</v>
      </c>
    </row>
    <row r="37" spans="1:25" x14ac:dyDescent="0.25">
      <c r="A37" t="s">
        <v>0</v>
      </c>
      <c r="B37">
        <f>VLOOKUP($A37,$A$5:$H$32,2,FALSE)</f>
        <v>30</v>
      </c>
      <c r="C37">
        <f>VLOOKUP($A37,$A$5:$H$32,3,FALSE)</f>
        <v>0</v>
      </c>
      <c r="D37">
        <f>VLOOKUP($A37,$A$5:$H$32,4,FALSE)</f>
        <v>0</v>
      </c>
      <c r="E37">
        <f>VLOOKUP($A37,$A$5:$H$32,5,FALSE)</f>
        <v>0</v>
      </c>
      <c r="G37">
        <f>VLOOKUP($A37,$A$5:$H$32,7,FALSE)</f>
        <v>189</v>
      </c>
      <c r="H37">
        <f>VLOOKUP($A37,$A$5:$H$32,8,FALSE)</f>
        <v>0</v>
      </c>
      <c r="S37" t="s">
        <v>16</v>
      </c>
      <c r="T37" s="4">
        <f>X37-$T$33</f>
        <v>6.41</v>
      </c>
      <c r="U37" s="4">
        <f>Y37+$T$33</f>
        <v>17.61</v>
      </c>
      <c r="W37" t="s">
        <v>16</v>
      </c>
      <c r="X37" s="4">
        <v>11.41</v>
      </c>
      <c r="Y37" s="4">
        <v>12.61</v>
      </c>
    </row>
    <row r="38" spans="1:25" x14ac:dyDescent="0.25">
      <c r="A38" s="2" t="s">
        <v>45</v>
      </c>
      <c r="G38" s="4" t="s">
        <v>22</v>
      </c>
      <c r="S38" t="s">
        <v>17</v>
      </c>
      <c r="T38" s="4">
        <f t="shared" ref="T38:T65" si="1">X38-$T$33</f>
        <v>0.45000000000000018</v>
      </c>
      <c r="U38" s="4">
        <f t="shared" ref="U38:U65" si="2">Y38+$T$33</f>
        <v>11.02</v>
      </c>
      <c r="W38" t="s">
        <v>17</v>
      </c>
      <c r="X38" s="4">
        <v>5.45</v>
      </c>
      <c r="Y38" s="4">
        <v>6.02</v>
      </c>
    </row>
    <row r="39" spans="1:25" x14ac:dyDescent="0.25">
      <c r="A39" s="2" t="s">
        <v>10</v>
      </c>
      <c r="C39" s="4">
        <f>IF(NOT(ISBLANK(C38)),VLOOKUP(C38,$S$36:$U$65,3,FALSE),0)</f>
        <v>0</v>
      </c>
      <c r="D39" s="4">
        <f>IF(NOT(ISBLANK(D38)),VLOOKUP(D38,$S$36:$U$65,3,FALSE),0)</f>
        <v>0</v>
      </c>
      <c r="E39" s="4">
        <f>IF(NOT(ISBLANK(E38)),VLOOKUP(E38,$S$36:$U$65,3,FALSE),0)</f>
        <v>0</v>
      </c>
      <c r="G39" s="4">
        <f>IF(NOT(ISBLANK(G38)),VLOOKUP(G38,$S$36:$U$65,2,FALSE),0)</f>
        <v>6</v>
      </c>
      <c r="H39" s="4">
        <f>IF(NOT(ISBLANK(H38)),VLOOKUP(H38,$S$36:$U$65,2,FALSE),0)</f>
        <v>0</v>
      </c>
      <c r="I39" s="1"/>
      <c r="S39" t="s">
        <v>18</v>
      </c>
      <c r="T39" s="4">
        <f t="shared" si="1"/>
        <v>11.25</v>
      </c>
      <c r="U39" s="4">
        <f t="shared" si="2"/>
        <v>22.95</v>
      </c>
      <c r="W39" t="s">
        <v>18</v>
      </c>
      <c r="X39" s="4">
        <v>16.25</v>
      </c>
      <c r="Y39" s="4">
        <v>17.95</v>
      </c>
    </row>
    <row r="40" spans="1:25" x14ac:dyDescent="0.25">
      <c r="A40" s="2" t="s">
        <v>9</v>
      </c>
      <c r="C40" s="6">
        <f>C39*C37</f>
        <v>0</v>
      </c>
      <c r="D40" s="6">
        <f>D39*D37</f>
        <v>0</v>
      </c>
      <c r="E40" s="6">
        <f>E39*E37</f>
        <v>0</v>
      </c>
      <c r="F40" s="1"/>
      <c r="G40" s="6">
        <f>G37*G39</f>
        <v>1134</v>
      </c>
      <c r="H40" s="6">
        <f>H37*H39</f>
        <v>0</v>
      </c>
      <c r="J40" s="1" t="str">
        <f>A37</f>
        <v>Woodcutting post</v>
      </c>
      <c r="K40" s="4">
        <f>SUM(G40:H40)-SUM(C40:E40)</f>
        <v>1134</v>
      </c>
      <c r="L40" s="4">
        <f>SUM(G40:H40)/B37</f>
        <v>37.799999999999997</v>
      </c>
      <c r="M40" s="4">
        <f>K40/B37</f>
        <v>37.799999999999997</v>
      </c>
      <c r="N40" s="3">
        <f>K40/SUM(G40:H40)</f>
        <v>1</v>
      </c>
      <c r="O40" s="1"/>
      <c r="P40" s="4">
        <v>4157</v>
      </c>
      <c r="Q40" s="5">
        <f>P40/K40*B37</f>
        <v>109.97354497354497</v>
      </c>
      <c r="S40" t="s">
        <v>19</v>
      </c>
      <c r="T40" s="4">
        <f t="shared" si="1"/>
        <v>1144.79</v>
      </c>
      <c r="U40" s="4">
        <f t="shared" si="2"/>
        <v>1275.82</v>
      </c>
      <c r="W40" t="s">
        <v>19</v>
      </c>
      <c r="X40" s="4">
        <v>1149.79</v>
      </c>
      <c r="Y40" s="4">
        <v>1270.82</v>
      </c>
    </row>
    <row r="41" spans="1:25" x14ac:dyDescent="0.25">
      <c r="S41" t="s">
        <v>20</v>
      </c>
      <c r="T41" s="4">
        <f t="shared" si="1"/>
        <v>23.96</v>
      </c>
      <c r="U41" s="4">
        <f t="shared" si="2"/>
        <v>37.01</v>
      </c>
      <c r="W41" t="s">
        <v>20</v>
      </c>
      <c r="X41" s="4">
        <v>28.96</v>
      </c>
      <c r="Y41" s="4">
        <v>32.01</v>
      </c>
    </row>
    <row r="42" spans="1:25" x14ac:dyDescent="0.25">
      <c r="A42" t="s">
        <v>47</v>
      </c>
      <c r="B42">
        <f>VLOOKUP($A42,$A$5:$H$32,2,FALSE)</f>
        <v>20</v>
      </c>
      <c r="C42">
        <f>VLOOKUP($A42,$A$5:$H$32,3,FALSE)</f>
        <v>180</v>
      </c>
      <c r="D42">
        <f>VLOOKUP($A42,$A$5:$H$32,4,FALSE)</f>
        <v>0</v>
      </c>
      <c r="E42">
        <f>VLOOKUP($A42,$A$5:$H$32,5,FALSE)</f>
        <v>0</v>
      </c>
      <c r="G42">
        <f>VLOOKUP($A42,$A$5:$H$32,7,FALSE)</f>
        <v>140</v>
      </c>
      <c r="H42">
        <f>VLOOKUP($A42,$A$5:$H$32,8,FALSE)</f>
        <v>0</v>
      </c>
      <c r="S42" t="s">
        <v>21</v>
      </c>
      <c r="T42" s="4">
        <f t="shared" si="1"/>
        <v>69.33</v>
      </c>
      <c r="U42" s="4">
        <f t="shared" si="2"/>
        <v>87.16</v>
      </c>
      <c r="W42" t="s">
        <v>21</v>
      </c>
      <c r="X42" s="4">
        <v>74.33</v>
      </c>
      <c r="Y42" s="4">
        <v>82.16</v>
      </c>
    </row>
    <row r="43" spans="1:25" x14ac:dyDescent="0.25">
      <c r="A43" s="2" t="s">
        <v>45</v>
      </c>
      <c r="C43" s="4" t="s">
        <v>22</v>
      </c>
      <c r="G43" s="4" t="s">
        <v>30</v>
      </c>
      <c r="S43" t="s">
        <v>22</v>
      </c>
      <c r="T43" s="4">
        <f t="shared" si="1"/>
        <v>6</v>
      </c>
      <c r="U43" s="4">
        <f t="shared" si="2"/>
        <v>17.16</v>
      </c>
      <c r="W43" t="s">
        <v>22</v>
      </c>
      <c r="X43" s="4">
        <v>11</v>
      </c>
      <c r="Y43" s="4">
        <v>12.16</v>
      </c>
    </row>
    <row r="44" spans="1:25" x14ac:dyDescent="0.25">
      <c r="A44" s="2" t="s">
        <v>10</v>
      </c>
      <c r="C44" s="4">
        <f>IF(NOT(ISBLANK(C43)),VLOOKUP(C43,$S$36:$U$65,3,FALSE),0)</f>
        <v>17.16</v>
      </c>
      <c r="D44" s="4">
        <f>IF(NOT(ISBLANK(D43)),VLOOKUP(D43,$S$36:$U$65,3,FALSE),0)</f>
        <v>0</v>
      </c>
      <c r="E44" s="4">
        <f>IF(NOT(ISBLANK(E43)),VLOOKUP(E43,$S$36:$U$65,3,FALSE),0)</f>
        <v>0</v>
      </c>
      <c r="G44" s="4">
        <f>IF(NOT(ISBLANK(G43)),VLOOKUP(G43,$S$36:$U$65,2,FALSE),0)</f>
        <v>29.630000000000003</v>
      </c>
      <c r="H44" s="4">
        <f>IF(NOT(ISBLANK(H43)),VLOOKUP(H43,$S$36:$U$65,2,FALSE),0)</f>
        <v>0</v>
      </c>
      <c r="I44" s="1"/>
      <c r="S44" t="s">
        <v>23</v>
      </c>
      <c r="T44" s="4">
        <f t="shared" si="1"/>
        <v>50.02</v>
      </c>
      <c r="U44" s="4">
        <f t="shared" si="2"/>
        <v>65.81</v>
      </c>
      <c r="W44" t="s">
        <v>23</v>
      </c>
      <c r="X44" s="4">
        <v>55.02</v>
      </c>
      <c r="Y44" s="4">
        <v>60.81</v>
      </c>
    </row>
    <row r="45" spans="1:25" x14ac:dyDescent="0.25">
      <c r="A45" s="2" t="s">
        <v>9</v>
      </c>
      <c r="C45" s="6">
        <f>C44*C42</f>
        <v>3088.8</v>
      </c>
      <c r="D45" s="6">
        <f>D44*D42</f>
        <v>0</v>
      </c>
      <c r="E45" s="6">
        <f>E44*E42</f>
        <v>0</v>
      </c>
      <c r="F45" s="1"/>
      <c r="G45" s="6">
        <f>G42*G44</f>
        <v>4148.2000000000007</v>
      </c>
      <c r="H45" s="6">
        <f>H42*H44</f>
        <v>0</v>
      </c>
      <c r="J45" s="1" t="str">
        <f>A42</f>
        <v>Sawmill</v>
      </c>
      <c r="K45" s="4">
        <f>SUM(G45:H45)-SUM(C45:E45)</f>
        <v>1059.4000000000005</v>
      </c>
      <c r="L45" s="4">
        <f>SUM(G45:H45)/B42</f>
        <v>207.41000000000003</v>
      </c>
      <c r="M45" s="4">
        <f>K45/B42</f>
        <v>52.970000000000027</v>
      </c>
      <c r="N45" s="3">
        <f>K45/SUM(G45:H45)</f>
        <v>0.25538787908008304</v>
      </c>
      <c r="O45" s="1"/>
      <c r="P45" s="4">
        <v>21764</v>
      </c>
      <c r="Q45" s="5">
        <f>P45/K45*B42</f>
        <v>410.87407966773628</v>
      </c>
      <c r="S45" t="s">
        <v>24</v>
      </c>
      <c r="T45" s="4">
        <f t="shared" si="1"/>
        <v>2063.04</v>
      </c>
      <c r="U45" s="4">
        <f t="shared" si="2"/>
        <v>2290.73</v>
      </c>
      <c r="W45" t="s">
        <v>24</v>
      </c>
      <c r="X45" s="4">
        <v>2068.04</v>
      </c>
      <c r="Y45" s="4">
        <v>2285.73</v>
      </c>
    </row>
    <row r="46" spans="1:25" x14ac:dyDescent="0.25">
      <c r="S46" t="s">
        <v>25</v>
      </c>
      <c r="T46" s="4">
        <f t="shared" si="1"/>
        <v>96.09</v>
      </c>
      <c r="U46" s="4">
        <f t="shared" si="2"/>
        <v>116.73</v>
      </c>
      <c r="W46" t="s">
        <v>25</v>
      </c>
      <c r="X46" s="4">
        <v>101.09</v>
      </c>
      <c r="Y46" s="4">
        <v>111.73</v>
      </c>
    </row>
    <row r="47" spans="1:25" x14ac:dyDescent="0.25">
      <c r="A47" t="s">
        <v>90</v>
      </c>
      <c r="B47">
        <f>VLOOKUP($A47,$A$5:$H$33,2,FALSE)</f>
        <v>1</v>
      </c>
      <c r="C47">
        <f>VLOOKUP($A47,$A$5:$H$33,3,FALSE)</f>
        <v>0</v>
      </c>
      <c r="D47">
        <f>VLOOKUP($A47,$A$5:$H$33,4,FALSE)</f>
        <v>0</v>
      </c>
      <c r="E47">
        <f>VLOOKUP($A47,$A$5:$H$33,5,FALSE)</f>
        <v>0</v>
      </c>
      <c r="G47">
        <f>VLOOKUP($A47,$A$5:$H$33,7,FALSE)</f>
        <v>2.5</v>
      </c>
      <c r="H47">
        <f>VLOOKUP($A47,$A$5:$H$33,8,FALSE)</f>
        <v>0</v>
      </c>
      <c r="S47" t="s">
        <v>26</v>
      </c>
      <c r="T47" s="4">
        <f t="shared" si="1"/>
        <v>10.119999999999999</v>
      </c>
      <c r="U47" s="4">
        <f t="shared" si="2"/>
        <v>21.71</v>
      </c>
      <c r="W47" t="s">
        <v>26</v>
      </c>
      <c r="X47" s="4">
        <v>15.12</v>
      </c>
      <c r="Y47" s="4">
        <v>16.71</v>
      </c>
    </row>
    <row r="48" spans="1:25" x14ac:dyDescent="0.25">
      <c r="A48" s="2" t="s">
        <v>45</v>
      </c>
      <c r="G48" s="4" t="s">
        <v>18</v>
      </c>
      <c r="S48" t="s">
        <v>27</v>
      </c>
      <c r="T48" s="4">
        <f t="shared" si="1"/>
        <v>32.42</v>
      </c>
      <c r="U48" s="4">
        <f t="shared" si="2"/>
        <v>46.36</v>
      </c>
      <c r="W48" t="s">
        <v>27</v>
      </c>
      <c r="X48" s="4">
        <v>37.42</v>
      </c>
      <c r="Y48" s="4">
        <v>41.36</v>
      </c>
    </row>
    <row r="49" spans="1:25" x14ac:dyDescent="0.25">
      <c r="A49" s="2" t="s">
        <v>10</v>
      </c>
      <c r="C49" s="4">
        <f>IF(NOT(ISBLANK(C48)),VLOOKUP(C48,$S$41:$U$70,3,FALSE),0)</f>
        <v>0</v>
      </c>
      <c r="D49" s="4">
        <f>IF(NOT(ISBLANK(D48)),VLOOKUP(D48,$S$41:$U$70,3,FALSE),0)</f>
        <v>0</v>
      </c>
      <c r="E49" s="4">
        <f>IF(NOT(ISBLANK(E48)),VLOOKUP(E48,$S$41:$U$70,3,FALSE),0)</f>
        <v>0</v>
      </c>
      <c r="G49" s="4">
        <f>IF(NOT(ISBLANK(G48)),VLOOKUP(G48,$S$36:$U$70,2,FALSE),0)</f>
        <v>11.25</v>
      </c>
      <c r="H49" s="4">
        <f>IF(NOT(ISBLANK(H48)),VLOOKUP(H48,$S$41:$U$70,2,FALSE),0)</f>
        <v>0</v>
      </c>
      <c r="I49" s="1"/>
      <c r="S49" t="s">
        <v>28</v>
      </c>
      <c r="T49" s="4">
        <f t="shared" si="1"/>
        <v>5</v>
      </c>
      <c r="U49" s="4">
        <f t="shared" si="2"/>
        <v>16.060000000000002</v>
      </c>
      <c r="W49" t="s">
        <v>28</v>
      </c>
      <c r="X49" s="4">
        <v>10</v>
      </c>
      <c r="Y49" s="4">
        <v>11.06</v>
      </c>
    </row>
    <row r="50" spans="1:25" x14ac:dyDescent="0.25">
      <c r="A50" s="2" t="s">
        <v>9</v>
      </c>
      <c r="C50" s="6">
        <f>C49*C47</f>
        <v>0</v>
      </c>
      <c r="D50" s="6">
        <f>D49*D47</f>
        <v>0</v>
      </c>
      <c r="E50" s="6">
        <f>E49*E47</f>
        <v>0</v>
      </c>
      <c r="F50" s="1"/>
      <c r="G50" s="6">
        <f>G47*G49</f>
        <v>28.125</v>
      </c>
      <c r="H50" s="6">
        <f>H47*H49</f>
        <v>0</v>
      </c>
      <c r="J50" s="1" t="str">
        <f>A47</f>
        <v>Farm</v>
      </c>
      <c r="K50" s="4">
        <f>SUM(G50:H50)-SUM(C50:E50)</f>
        <v>28.125</v>
      </c>
      <c r="L50" s="4">
        <f>SUM(G50:H50)/B47</f>
        <v>28.125</v>
      </c>
      <c r="M50" s="4">
        <f>K50/B47</f>
        <v>28.125</v>
      </c>
      <c r="N50" s="3">
        <f>K50/SUM(G50:H50)</f>
        <v>1</v>
      </c>
      <c r="O50" s="1"/>
      <c r="P50" s="4">
        <v>4157</v>
      </c>
      <c r="Q50" s="5">
        <f>P50/K50*B47</f>
        <v>147.80444444444444</v>
      </c>
      <c r="S50" t="s">
        <v>29</v>
      </c>
      <c r="T50" s="4">
        <f t="shared" si="1"/>
        <v>228.07</v>
      </c>
      <c r="U50" s="4">
        <f t="shared" si="2"/>
        <v>262.61</v>
      </c>
      <c r="W50" t="s">
        <v>29</v>
      </c>
      <c r="X50" s="4">
        <v>233.07</v>
      </c>
      <c r="Y50" s="4">
        <v>257.61</v>
      </c>
    </row>
    <row r="51" spans="1:25" x14ac:dyDescent="0.25">
      <c r="S51" t="s">
        <v>30</v>
      </c>
      <c r="T51" s="4">
        <f t="shared" si="1"/>
        <v>29.630000000000003</v>
      </c>
      <c r="U51" s="4">
        <f t="shared" si="2"/>
        <v>43.28</v>
      </c>
      <c r="W51" t="s">
        <v>30</v>
      </c>
      <c r="X51" s="4">
        <v>34.630000000000003</v>
      </c>
      <c r="Y51" s="4">
        <v>38.28</v>
      </c>
    </row>
    <row r="52" spans="1:25" x14ac:dyDescent="0.25">
      <c r="A52" t="s">
        <v>50</v>
      </c>
      <c r="B52">
        <f>VLOOKUP($A52,$A$5:$H$32,2,FALSE)</f>
        <v>250</v>
      </c>
      <c r="C52">
        <f>VLOOKUP($A52,$A$5:$H$32,3,FALSE)</f>
        <v>0</v>
      </c>
      <c r="D52">
        <f>VLOOKUP($A52,$A$5:$H$32,4,FALSE)</f>
        <v>0</v>
      </c>
      <c r="E52">
        <f>VLOOKUP($A52,$A$5:$H$32,5,FALSE)</f>
        <v>0</v>
      </c>
      <c r="G52">
        <f>VLOOKUP($A52,$A$5:$H$32,7,FALSE)</f>
        <v>1000</v>
      </c>
      <c r="H52">
        <f>VLOOKUP($A52,$A$5:$H$32,8,FALSE)</f>
        <v>0</v>
      </c>
      <c r="S52" t="s">
        <v>31</v>
      </c>
      <c r="T52" s="4">
        <f t="shared" si="1"/>
        <v>165.35</v>
      </c>
      <c r="U52" s="4">
        <f t="shared" si="2"/>
        <v>193.28</v>
      </c>
      <c r="W52" t="s">
        <v>31</v>
      </c>
      <c r="X52" s="4">
        <v>170.35</v>
      </c>
      <c r="Y52" s="4">
        <v>188.28</v>
      </c>
    </row>
    <row r="53" spans="1:25" x14ac:dyDescent="0.25">
      <c r="A53" s="2" t="s">
        <v>45</v>
      </c>
      <c r="G53" s="4" t="s">
        <v>28</v>
      </c>
      <c r="S53" t="s">
        <v>32</v>
      </c>
      <c r="T53" s="4">
        <f t="shared" si="1"/>
        <v>336.29</v>
      </c>
      <c r="U53" s="4">
        <f t="shared" si="2"/>
        <v>382.22</v>
      </c>
      <c r="W53" t="s">
        <v>32</v>
      </c>
      <c r="X53" s="4">
        <v>341.29</v>
      </c>
      <c r="Y53" s="4">
        <v>377.22</v>
      </c>
    </row>
    <row r="54" spans="1:25" x14ac:dyDescent="0.25">
      <c r="A54" s="2" t="s">
        <v>10</v>
      </c>
      <c r="C54" s="4">
        <f>IF(NOT(ISBLANK(C53)),VLOOKUP(C53,$S$36:$U$65,3,FALSE),0)</f>
        <v>0</v>
      </c>
      <c r="D54" s="4">
        <f>IF(NOT(ISBLANK(D53)),VLOOKUP(D53,$S$36:$U$65,3,FALSE),0)</f>
        <v>0</v>
      </c>
      <c r="E54" s="4">
        <f>IF(NOT(ISBLANK(E53)),VLOOKUP(E53,$S$36:$U$65,3,FALSE),0)</f>
        <v>0</v>
      </c>
      <c r="G54" s="4">
        <f>IF(NOT(ISBLANK(G53)),VLOOKUP(G53,$S$36:$U$65,2,FALSE),0)</f>
        <v>5</v>
      </c>
      <c r="H54" s="4">
        <f>IF(NOT(ISBLANK(H53)),VLOOKUP(H53,$S$36:$U$65,2,FALSE),0)</f>
        <v>0</v>
      </c>
      <c r="I54" s="1"/>
      <c r="S54" t="s">
        <v>33</v>
      </c>
      <c r="T54" s="4">
        <f t="shared" si="1"/>
        <v>235.89</v>
      </c>
      <c r="U54" s="4">
        <f t="shared" si="2"/>
        <v>271.25</v>
      </c>
      <c r="W54" t="s">
        <v>33</v>
      </c>
      <c r="X54" s="4">
        <v>240.89</v>
      </c>
      <c r="Y54" s="4">
        <v>266.25</v>
      </c>
    </row>
    <row r="55" spans="1:25" x14ac:dyDescent="0.25">
      <c r="A55" s="2" t="s">
        <v>9</v>
      </c>
      <c r="C55" s="6">
        <f>C54*C52</f>
        <v>0</v>
      </c>
      <c r="D55" s="6">
        <f>D54*D52</f>
        <v>0</v>
      </c>
      <c r="E55" s="6">
        <f>E54*E52</f>
        <v>0</v>
      </c>
      <c r="F55" s="1"/>
      <c r="G55" s="6">
        <f>G52*G54</f>
        <v>5000</v>
      </c>
      <c r="H55" s="6">
        <f>H52*H54</f>
        <v>0</v>
      </c>
      <c r="J55" s="1" t="str">
        <f>A52</f>
        <v>Iron Mine</v>
      </c>
      <c r="K55" s="4">
        <f>SUM(G55:H55)-SUM(C55:E55)</f>
        <v>5000</v>
      </c>
      <c r="L55" s="4">
        <f>SUM(G55:H55)/B52</f>
        <v>20</v>
      </c>
      <c r="M55" s="4">
        <f>K55/B52</f>
        <v>20</v>
      </c>
      <c r="N55" s="3">
        <f>K55/SUM(G55:H55)</f>
        <v>1</v>
      </c>
      <c r="O55" s="1"/>
      <c r="P55" s="4">
        <v>85018</v>
      </c>
      <c r="Q55" s="5">
        <f>P55/K55*B52</f>
        <v>4250.8999999999996</v>
      </c>
      <c r="S55" t="s">
        <v>34</v>
      </c>
      <c r="T55" s="4">
        <f t="shared" si="1"/>
        <v>69.260000000000005</v>
      </c>
      <c r="U55" s="4">
        <f t="shared" si="2"/>
        <v>87.08</v>
      </c>
      <c r="W55" t="s">
        <v>34</v>
      </c>
      <c r="X55" s="4">
        <v>74.260000000000005</v>
      </c>
      <c r="Y55" s="4">
        <v>82.08</v>
      </c>
    </row>
    <row r="56" spans="1:25" x14ac:dyDescent="0.25">
      <c r="S56" t="s">
        <v>35</v>
      </c>
      <c r="T56" s="4">
        <f t="shared" si="1"/>
        <v>113.23</v>
      </c>
      <c r="U56" s="4">
        <f t="shared" si="2"/>
        <v>135.68</v>
      </c>
      <c r="W56" t="s">
        <v>35</v>
      </c>
      <c r="X56" s="4">
        <v>118.23</v>
      </c>
      <c r="Y56" s="4">
        <v>130.68</v>
      </c>
    </row>
    <row r="57" spans="1:25" x14ac:dyDescent="0.25">
      <c r="A57" t="s">
        <v>51</v>
      </c>
      <c r="B57">
        <f>VLOOKUP($A57,$A$5:$H$32,2,FALSE)</f>
        <v>15</v>
      </c>
      <c r="C57">
        <f>VLOOKUP($A57,$A$5:$H$32,3,FALSE)</f>
        <v>225</v>
      </c>
      <c r="D57">
        <f>VLOOKUP($A57,$A$5:$H$32,4,FALSE)</f>
        <v>0</v>
      </c>
      <c r="E57">
        <f>VLOOKUP($A57,$A$5:$H$32,5,FALSE)</f>
        <v>0</v>
      </c>
      <c r="G57">
        <f>VLOOKUP($A57,$A$5:$H$32,7,FALSE)</f>
        <v>105</v>
      </c>
      <c r="H57">
        <f>VLOOKUP($A57,$A$5:$H$32,8,FALSE)</f>
        <v>0</v>
      </c>
      <c r="S57" t="s">
        <v>36</v>
      </c>
      <c r="T57" s="4">
        <f t="shared" si="1"/>
        <v>1451.57</v>
      </c>
      <c r="U57" s="4">
        <f t="shared" si="2"/>
        <v>1614.89</v>
      </c>
      <c r="W57" t="s">
        <v>36</v>
      </c>
      <c r="X57" s="4">
        <v>1456.57</v>
      </c>
      <c r="Y57" s="4">
        <v>1609.89</v>
      </c>
    </row>
    <row r="58" spans="1:25" x14ac:dyDescent="0.25">
      <c r="A58" s="2" t="s">
        <v>45</v>
      </c>
      <c r="C58" s="4" t="s">
        <v>28</v>
      </c>
      <c r="G58" s="4" t="s">
        <v>27</v>
      </c>
      <c r="S58" t="s">
        <v>37</v>
      </c>
      <c r="T58" s="4">
        <f t="shared" si="1"/>
        <v>2347.73</v>
      </c>
      <c r="U58" s="4">
        <f t="shared" si="2"/>
        <v>2605.38</v>
      </c>
      <c r="W58" t="s">
        <v>37</v>
      </c>
      <c r="X58" s="4">
        <v>2352.73</v>
      </c>
      <c r="Y58" s="4">
        <v>2600.38</v>
      </c>
    </row>
    <row r="59" spans="1:25" x14ac:dyDescent="0.25">
      <c r="A59" s="2" t="s">
        <v>10</v>
      </c>
      <c r="C59" s="4">
        <f>IF(NOT(ISBLANK(C58)),VLOOKUP(C58,$S$36:$U$65,3,FALSE),0)</f>
        <v>16.060000000000002</v>
      </c>
      <c r="D59" s="4">
        <f>IF(NOT(ISBLANK(D58)),VLOOKUP(D58,$S$36:$U$65,3,FALSE),0)</f>
        <v>0</v>
      </c>
      <c r="E59" s="4">
        <f>IF(NOT(ISBLANK(E58)),VLOOKUP(E58,$S$36:$U$65,3,FALSE),0)</f>
        <v>0</v>
      </c>
      <c r="G59" s="4">
        <f>IF(NOT(ISBLANK(G58)),VLOOKUP(G58,$S$36:$U$65,2,FALSE),0)</f>
        <v>32.42</v>
      </c>
      <c r="H59" s="4">
        <f>IF(NOT(ISBLANK(H58)),VLOOKUP(H58,$S$36:$U$65,2,FALSE),0)</f>
        <v>0</v>
      </c>
      <c r="I59" s="1"/>
      <c r="S59" t="s">
        <v>38</v>
      </c>
      <c r="T59" s="4">
        <f t="shared" si="1"/>
        <v>1617.4</v>
      </c>
      <c r="U59" s="4">
        <f t="shared" si="2"/>
        <v>1798.17</v>
      </c>
      <c r="W59" t="s">
        <v>38</v>
      </c>
      <c r="X59" s="4">
        <v>1622.4</v>
      </c>
      <c r="Y59" s="4">
        <v>1793.17</v>
      </c>
    </row>
    <row r="60" spans="1:25" x14ac:dyDescent="0.25">
      <c r="A60" s="2" t="s">
        <v>9</v>
      </c>
      <c r="C60" s="6">
        <f>C59*C57</f>
        <v>3613.5000000000005</v>
      </c>
      <c r="D60" s="6">
        <f>D59*D57</f>
        <v>0</v>
      </c>
      <c r="E60" s="6">
        <f>E59*E57</f>
        <v>0</v>
      </c>
      <c r="F60" s="1"/>
      <c r="G60" s="6">
        <f>G57*G59</f>
        <v>3404.1000000000004</v>
      </c>
      <c r="H60" s="6">
        <f>H57*H59</f>
        <v>0</v>
      </c>
      <c r="J60" s="1" t="str">
        <f>A57</f>
        <v>Iron Processing</v>
      </c>
      <c r="K60" s="4">
        <f>SUM(G60:H60)-SUM(C60:E60)</f>
        <v>-209.40000000000009</v>
      </c>
      <c r="L60" s="4">
        <f>SUM(G60:H60)/B57</f>
        <v>226.94000000000003</v>
      </c>
      <c r="M60" s="4">
        <f>K60/B57</f>
        <v>-13.960000000000006</v>
      </c>
      <c r="N60" s="3">
        <f>K60/SUM(G60:H60)</f>
        <v>-6.1514056578831432E-2</v>
      </c>
      <c r="O60" s="1"/>
      <c r="P60" s="4">
        <v>146810</v>
      </c>
      <c r="Q60" s="5">
        <f>P60/K60*B57</f>
        <v>-10516.475644699136</v>
      </c>
      <c r="S60" t="s">
        <v>39</v>
      </c>
      <c r="T60" s="4">
        <f t="shared" si="1"/>
        <v>34.14</v>
      </c>
      <c r="U60" s="4">
        <f t="shared" si="2"/>
        <v>48.26</v>
      </c>
      <c r="W60" t="s">
        <v>39</v>
      </c>
      <c r="X60" s="4">
        <v>39.14</v>
      </c>
      <c r="Y60" s="4">
        <v>43.26</v>
      </c>
    </row>
    <row r="61" spans="1:25" x14ac:dyDescent="0.25">
      <c r="S61" t="s">
        <v>40</v>
      </c>
      <c r="T61" s="4">
        <f t="shared" si="1"/>
        <v>11.41</v>
      </c>
      <c r="U61" s="4">
        <f t="shared" si="2"/>
        <v>23.14</v>
      </c>
      <c r="W61" t="s">
        <v>40</v>
      </c>
      <c r="X61" s="4">
        <v>16.41</v>
      </c>
      <c r="Y61" s="4">
        <v>18.14</v>
      </c>
    </row>
    <row r="62" spans="1:25" x14ac:dyDescent="0.25">
      <c r="A62" t="s">
        <v>53</v>
      </c>
      <c r="B62">
        <f>VLOOKUP($A62,$A$5:$H$32,2,FALSE)</f>
        <v>500</v>
      </c>
      <c r="C62">
        <f>VLOOKUP($A62,$A$5:$H$32,3,FALSE)</f>
        <v>375</v>
      </c>
      <c r="D62">
        <f>VLOOKUP($A62,$A$5:$H$32,4,FALSE)</f>
        <v>200</v>
      </c>
      <c r="E62">
        <f>VLOOKUP($A62,$A$5:$H$32,5,FALSE)</f>
        <v>11</v>
      </c>
      <c r="G62">
        <f>VLOOKUP($A62,$A$5:$H$32,7,FALSE)</f>
        <v>40</v>
      </c>
      <c r="H62">
        <f>VLOOKUP($A62,$A$5:$H$32,8,FALSE)</f>
        <v>0</v>
      </c>
      <c r="S62" t="s">
        <v>41</v>
      </c>
      <c r="T62" s="4">
        <f t="shared" si="1"/>
        <v>1682.17</v>
      </c>
      <c r="U62" s="4">
        <f t="shared" si="2"/>
        <v>1869.77</v>
      </c>
      <c r="W62" t="s">
        <v>41</v>
      </c>
      <c r="X62" s="4">
        <v>1687.17</v>
      </c>
      <c r="Y62" s="4">
        <v>1864.77</v>
      </c>
    </row>
    <row r="63" spans="1:25" x14ac:dyDescent="0.25">
      <c r="A63" s="2" t="s">
        <v>45</v>
      </c>
      <c r="C63" s="4" t="s">
        <v>25</v>
      </c>
      <c r="D63" s="4" t="s">
        <v>27</v>
      </c>
      <c r="E63" s="4" t="s">
        <v>15</v>
      </c>
      <c r="G63" s="4" t="s">
        <v>19</v>
      </c>
      <c r="S63" t="s">
        <v>42</v>
      </c>
      <c r="T63" s="4">
        <f t="shared" si="1"/>
        <v>1797.31</v>
      </c>
      <c r="U63" s="4">
        <f t="shared" si="2"/>
        <v>1997.02</v>
      </c>
      <c r="W63" t="s">
        <v>42</v>
      </c>
      <c r="X63" s="4">
        <v>1802.31</v>
      </c>
      <c r="Y63" s="4">
        <v>1992.02</v>
      </c>
    </row>
    <row r="64" spans="1:25" x14ac:dyDescent="0.25">
      <c r="A64" s="2" t="s">
        <v>10</v>
      </c>
      <c r="C64" s="4">
        <f>IF(NOT(ISBLANK(C63)),VLOOKUP(C63,$S$36:$U$65,3,FALSE),0)</f>
        <v>116.73</v>
      </c>
      <c r="D64" s="4">
        <f>IF(NOT(ISBLANK(D63)),VLOOKUP(D63,$S$36:$U$65,3,FALSE),0)</f>
        <v>46.36</v>
      </c>
      <c r="E64" s="4">
        <f>IF(NOT(ISBLANK(E63)),VLOOKUP(E63,$S$36:$U$65,3,FALSE),0)</f>
        <v>5.2</v>
      </c>
      <c r="G64" s="4">
        <f>IF(NOT(ISBLANK(G63)),VLOOKUP(G63,$S$36:$U$65,2,FALSE),0)</f>
        <v>1144.79</v>
      </c>
      <c r="H64" s="4">
        <f>IF(NOT(ISBLANK(H63)),VLOOKUP(H63,$S$36:$U$65,2,FALSE),0)</f>
        <v>0</v>
      </c>
      <c r="I64" s="1"/>
      <c r="S64" t="s">
        <v>43</v>
      </c>
      <c r="T64" s="4">
        <f t="shared" si="1"/>
        <v>884.16</v>
      </c>
      <c r="U64" s="4">
        <f t="shared" si="2"/>
        <v>987.76</v>
      </c>
      <c r="W64" t="s">
        <v>43</v>
      </c>
      <c r="X64" s="4">
        <v>889.16</v>
      </c>
      <c r="Y64" s="4">
        <v>982.76</v>
      </c>
    </row>
    <row r="65" spans="1:25" x14ac:dyDescent="0.25">
      <c r="A65" s="2" t="s">
        <v>9</v>
      </c>
      <c r="C65" s="6">
        <f>C64*C62</f>
        <v>43773.75</v>
      </c>
      <c r="D65" s="6">
        <f>D64*D62</f>
        <v>9272</v>
      </c>
      <c r="E65" s="6">
        <f>E64*E62</f>
        <v>57.2</v>
      </c>
      <c r="F65" s="1"/>
      <c r="G65" s="6">
        <f>G62*G64</f>
        <v>45791.6</v>
      </c>
      <c r="H65" s="6">
        <f>H62*H64</f>
        <v>0</v>
      </c>
      <c r="J65" s="1" t="str">
        <f>A62</f>
        <v>Steel Mill</v>
      </c>
      <c r="K65" s="4">
        <f>SUM(G65:H65)-SUM(C65:E65)</f>
        <v>-7311.3499999999985</v>
      </c>
      <c r="L65" s="4">
        <f>SUM(G65:H65)/B62</f>
        <v>91.583199999999991</v>
      </c>
      <c r="M65" s="4">
        <f>K65/B62</f>
        <v>-14.622699999999996</v>
      </c>
      <c r="N65" s="3">
        <f>K65/SUM(G65:H65)</f>
        <v>-0.15966574655613691</v>
      </c>
      <c r="O65" s="1"/>
      <c r="P65" s="4">
        <v>257030</v>
      </c>
      <c r="Q65" s="5">
        <f>P65/K65*B62</f>
        <v>-17577.465174010274</v>
      </c>
      <c r="S65" t="s">
        <v>44</v>
      </c>
      <c r="T65" s="4">
        <f t="shared" si="1"/>
        <v>1871.4</v>
      </c>
      <c r="U65" s="4">
        <f t="shared" si="2"/>
        <v>2078.92</v>
      </c>
      <c r="W65" t="s">
        <v>44</v>
      </c>
      <c r="X65" s="4">
        <v>1876.4</v>
      </c>
      <c r="Y65" s="4">
        <v>2073.92</v>
      </c>
    </row>
    <row r="67" spans="1:25" x14ac:dyDescent="0.25">
      <c r="A67" t="s">
        <v>54</v>
      </c>
      <c r="B67">
        <f>VLOOKUP($A67,$A$5:$H$32,2,FALSE)</f>
        <v>220</v>
      </c>
      <c r="C67">
        <f>VLOOKUP($A67,$A$5:$H$32,3,FALSE)</f>
        <v>0</v>
      </c>
      <c r="D67">
        <f>VLOOKUP($A67,$A$5:$H$32,4,FALSE)</f>
        <v>0</v>
      </c>
      <c r="E67">
        <f>VLOOKUP($A67,$A$5:$H$32,5,FALSE)</f>
        <v>0</v>
      </c>
      <c r="G67">
        <f>VLOOKUP($A67,$A$5:$H$32,7,FALSE)</f>
        <v>924</v>
      </c>
      <c r="H67">
        <f>VLOOKUP($A67,$A$5:$H$32,8,FALSE)</f>
        <v>0</v>
      </c>
    </row>
    <row r="68" spans="1:25" x14ac:dyDescent="0.25">
      <c r="A68" s="2" t="s">
        <v>45</v>
      </c>
      <c r="G68" s="4" t="s">
        <v>56</v>
      </c>
      <c r="V68" s="5"/>
    </row>
    <row r="69" spans="1:25" x14ac:dyDescent="0.25">
      <c r="A69" s="2" t="s">
        <v>10</v>
      </c>
      <c r="C69" s="4">
        <f>IF(NOT(ISBLANK(C68)),VLOOKUP(C68,$S$36:$U$65,3,FALSE),0)</f>
        <v>0</v>
      </c>
      <c r="D69" s="4">
        <f>IF(NOT(ISBLANK(D68)),VLOOKUP(D68,$S$36:$U$65,3,FALSE),0)</f>
        <v>0</v>
      </c>
      <c r="E69" s="4">
        <f>IF(NOT(ISBLANK(E68)),VLOOKUP(E68,$S$36:$U$65,3,FALSE),0)</f>
        <v>0</v>
      </c>
      <c r="G69" s="4">
        <f>IF(NOT(ISBLANK(G68)),VLOOKUP(G68,$S$36:$U$65,2,FALSE),0)</f>
        <v>10.119999999999999</v>
      </c>
      <c r="H69" s="4">
        <f>IF(NOT(ISBLANK(H68)),VLOOKUP(H68,$S$36:$U$65,2,FALSE),0)</f>
        <v>0</v>
      </c>
      <c r="I69" s="1"/>
      <c r="V69" s="5"/>
    </row>
    <row r="70" spans="1:25" x14ac:dyDescent="0.25">
      <c r="A70" s="2" t="s">
        <v>9</v>
      </c>
      <c r="C70" s="6">
        <f>C69*C67</f>
        <v>0</v>
      </c>
      <c r="D70" s="6">
        <f>D69*D67</f>
        <v>0</v>
      </c>
      <c r="E70" s="6">
        <f>E69*E67</f>
        <v>0</v>
      </c>
      <c r="F70" s="1"/>
      <c r="G70" s="6">
        <f>G67*G69</f>
        <v>9350.8799999999992</v>
      </c>
      <c r="H70" s="6">
        <f>H67*H69</f>
        <v>0</v>
      </c>
      <c r="J70" s="1" t="str">
        <f>A67</f>
        <v>Coal Mine</v>
      </c>
      <c r="K70" s="4">
        <f>SUM(G70:H70)-SUM(C70:E70)</f>
        <v>9350.8799999999992</v>
      </c>
      <c r="L70" s="4">
        <f>SUM(G70:H70)/B67</f>
        <v>42.503999999999998</v>
      </c>
      <c r="M70" s="4">
        <f>K70/B67</f>
        <v>42.503999999999998</v>
      </c>
      <c r="N70" s="3">
        <f>K70/SUM(G70:H70)</f>
        <v>1</v>
      </c>
      <c r="O70" s="1"/>
      <c r="P70" s="4">
        <v>84568</v>
      </c>
      <c r="Q70" s="5">
        <f>P70/K70*B67</f>
        <v>1989.6480331262942</v>
      </c>
    </row>
    <row r="72" spans="1:25" x14ac:dyDescent="0.25">
      <c r="A72" t="s">
        <v>55</v>
      </c>
      <c r="B72">
        <f>VLOOKUP($A72,$A$5:$H$32,2,FALSE)</f>
        <v>30</v>
      </c>
      <c r="C72">
        <f>VLOOKUP($A72,$A$5:$H$32,3,FALSE)</f>
        <v>210</v>
      </c>
      <c r="D72">
        <f>VLOOKUP($A72,$A$5:$H$32,4,FALSE)</f>
        <v>0</v>
      </c>
      <c r="E72">
        <f>VLOOKUP($A72,$A$5:$H$32,5,FALSE)</f>
        <v>0</v>
      </c>
      <c r="G72">
        <f>VLOOKUP($A72,$A$5:$H$32,7,FALSE)</f>
        <v>75</v>
      </c>
      <c r="H72">
        <f>VLOOKUP($A72,$A$5:$H$32,8,FALSE)</f>
        <v>0</v>
      </c>
    </row>
    <row r="73" spans="1:25" x14ac:dyDescent="0.25">
      <c r="A73" s="2" t="s">
        <v>45</v>
      </c>
      <c r="C73" s="4" t="s">
        <v>56</v>
      </c>
      <c r="G73" s="4" t="s">
        <v>25</v>
      </c>
    </row>
    <row r="74" spans="1:25" x14ac:dyDescent="0.25">
      <c r="A74" s="2" t="s">
        <v>10</v>
      </c>
      <c r="C74" s="4">
        <f>IF(NOT(ISBLANK(C73)),VLOOKUP(C73,$S$36:$U$65,3,FALSE),0)</f>
        <v>21.71</v>
      </c>
      <c r="D74" s="4">
        <f>IF(NOT(ISBLANK(D73)),VLOOKUP(D73,$S$36:$U$65,3,FALSE),0)</f>
        <v>0</v>
      </c>
      <c r="E74" s="4">
        <f>IF(NOT(ISBLANK(E73)),VLOOKUP(E73,$S$36:$U$65,3,FALSE),0)</f>
        <v>0</v>
      </c>
      <c r="G74" s="4">
        <f>IF(NOT(ISBLANK(G73)),VLOOKUP(G73,$S$36:$U$65,2,FALSE),0)</f>
        <v>96.09</v>
      </c>
      <c r="H74" s="4">
        <f>IF(NOT(ISBLANK(H73)),VLOOKUP(H73,$S$36:$U$65,2,FALSE),0)</f>
        <v>0</v>
      </c>
      <c r="I74" s="1"/>
    </row>
    <row r="75" spans="1:25" x14ac:dyDescent="0.25">
      <c r="A75" s="2" t="s">
        <v>9</v>
      </c>
      <c r="C75" s="6">
        <f>C74*C72</f>
        <v>4559.1000000000004</v>
      </c>
      <c r="D75" s="6">
        <f>D74*D72</f>
        <v>0</v>
      </c>
      <c r="E75" s="6">
        <f>E74*E72</f>
        <v>0</v>
      </c>
      <c r="F75" s="1"/>
      <c r="G75" s="6">
        <f>G72*G74</f>
        <v>7206.75</v>
      </c>
      <c r="H75" s="6">
        <f>H72*H74</f>
        <v>0</v>
      </c>
      <c r="J75" s="1" t="str">
        <f>A72</f>
        <v>Coal Processing</v>
      </c>
      <c r="K75" s="4">
        <f>SUM(G75:H75)-SUM(C75:E75)</f>
        <v>2647.6499999999996</v>
      </c>
      <c r="L75" s="4">
        <f>SUM(G75:H75)/B72</f>
        <v>240.22499999999999</v>
      </c>
      <c r="M75" s="4">
        <f>K75/B72</f>
        <v>88.254999999999981</v>
      </c>
      <c r="N75" s="3">
        <f>K75/SUM(G75:H75)</f>
        <v>0.36738474346966382</v>
      </c>
      <c r="O75" s="1"/>
      <c r="P75" s="4">
        <v>146810</v>
      </c>
      <c r="Q75" s="5">
        <f>P75/K75*B72</f>
        <v>1663.4751572148889</v>
      </c>
    </row>
    <row r="77" spans="1:25" x14ac:dyDescent="0.25">
      <c r="A77" t="s">
        <v>57</v>
      </c>
      <c r="B77">
        <f>VLOOKUP($A77,$A$5:$H$32,2,FALSE)</f>
        <v>75</v>
      </c>
      <c r="C77">
        <f>VLOOKUP($A77,$A$5:$H$32,3,FALSE)</f>
        <v>33</v>
      </c>
      <c r="D77">
        <f>VLOOKUP($A77,$A$5:$H$32,4,FALSE)</f>
        <v>0</v>
      </c>
      <c r="E77">
        <f>VLOOKUP($A77,$A$5:$H$32,5,FALSE)</f>
        <v>0</v>
      </c>
      <c r="G77">
        <f>VLOOKUP($A77,$A$5:$H$32,7,FALSE)</f>
        <v>51</v>
      </c>
      <c r="H77">
        <f>VLOOKUP($A77,$A$5:$H$32,8,FALSE)</f>
        <v>0</v>
      </c>
    </row>
    <row r="78" spans="1:25" x14ac:dyDescent="0.25">
      <c r="A78" s="2" t="s">
        <v>45</v>
      </c>
      <c r="C78" s="4" t="s">
        <v>25</v>
      </c>
      <c r="G78" s="4" t="s">
        <v>21</v>
      </c>
    </row>
    <row r="79" spans="1:25" x14ac:dyDescent="0.25">
      <c r="A79" s="2" t="s">
        <v>10</v>
      </c>
      <c r="C79" s="4">
        <f>IF(NOT(ISBLANK(C78)),VLOOKUP(C78,$S$36:$U$65,3,FALSE),0)</f>
        <v>116.73</v>
      </c>
      <c r="D79" s="4">
        <f>IF(NOT(ISBLANK(D78)),VLOOKUP(D78,$S$36:$U$65,3,FALSE),0)</f>
        <v>0</v>
      </c>
      <c r="E79" s="4">
        <f>IF(NOT(ISBLANK(E78)),VLOOKUP(E78,$S$36:$U$65,3,FALSE),0)</f>
        <v>0</v>
      </c>
      <c r="G79" s="4">
        <f>IF(NOT(ISBLANK(G78)),VLOOKUP(G78,$S$36:$U$65,2,FALSE),0)</f>
        <v>69.33</v>
      </c>
      <c r="H79" s="4">
        <f>IF(NOT(ISBLANK(H78)),VLOOKUP(H78,$S$36:$U$65,2,FALSE),0)</f>
        <v>0</v>
      </c>
      <c r="I79" s="1"/>
    </row>
    <row r="80" spans="1:25" x14ac:dyDescent="0.25">
      <c r="A80" s="2" t="s">
        <v>9</v>
      </c>
      <c r="C80" s="6">
        <f>C79*C77</f>
        <v>3852.09</v>
      </c>
      <c r="D80" s="6">
        <f>D79*D77</f>
        <v>0</v>
      </c>
      <c r="E80" s="6">
        <f>E79*E77</f>
        <v>0</v>
      </c>
      <c r="F80" s="1"/>
      <c r="G80" s="6">
        <f>G77*G79</f>
        <v>3535.83</v>
      </c>
      <c r="H80" s="6">
        <f>H77*H79</f>
        <v>0</v>
      </c>
      <c r="J80" s="1" t="str">
        <f>A77</f>
        <v>Brick Factory</v>
      </c>
      <c r="K80" s="4">
        <f>SUM(G80:H80)-SUM(C80:E80)</f>
        <v>-316.26000000000022</v>
      </c>
      <c r="L80" s="4">
        <f>SUM(G80:H80)/B77</f>
        <v>47.144399999999997</v>
      </c>
      <c r="M80" s="4">
        <f>K80/B77</f>
        <v>-4.2168000000000028</v>
      </c>
      <c r="N80" s="3">
        <f>K80/SUM(G80:H80)</f>
        <v>-8.9444345457785082E-2</v>
      </c>
      <c r="O80" s="1"/>
      <c r="P80" s="4">
        <v>56668</v>
      </c>
      <c r="Q80" s="5">
        <f>P80/K80*B77</f>
        <v>-13438.626446594564</v>
      </c>
    </row>
    <row r="82" spans="1:17" x14ac:dyDescent="0.25">
      <c r="A82" t="s">
        <v>58</v>
      </c>
      <c r="B82">
        <f>VLOOKUP($A82,$A$5:$H$32,2,FALSE)</f>
        <v>40</v>
      </c>
      <c r="C82">
        <f>VLOOKUP($A82,$A$5:$H$32,3,FALSE)</f>
        <v>24</v>
      </c>
      <c r="D82">
        <f>VLOOKUP($A82,$A$5:$H$32,4,FALSE)</f>
        <v>0</v>
      </c>
      <c r="E82">
        <f>VLOOKUP($A82,$A$5:$H$32,5,FALSE)</f>
        <v>0</v>
      </c>
      <c r="G82">
        <f>VLOOKUP($A82,$A$5:$H$32,7,FALSE)</f>
        <v>1000</v>
      </c>
      <c r="H82">
        <f>VLOOKUP($A82,$A$5:$H$32,8,FALSE)</f>
        <v>0</v>
      </c>
    </row>
    <row r="83" spans="1:17" x14ac:dyDescent="0.25">
      <c r="A83" s="2" t="s">
        <v>45</v>
      </c>
      <c r="C83" s="4" t="s">
        <v>25</v>
      </c>
      <c r="G83" s="4" t="s">
        <v>15</v>
      </c>
    </row>
    <row r="84" spans="1:17" x14ac:dyDescent="0.25">
      <c r="A84" s="2" t="s">
        <v>10</v>
      </c>
      <c r="C84" s="4">
        <f>IF(NOT(ISBLANK(C83)),VLOOKUP(C83,$S$36:$U$65,3,FALSE),0)</f>
        <v>116.73</v>
      </c>
      <c r="D84" s="4">
        <f>IF(NOT(ISBLANK(D83)),VLOOKUP(D83,$S$36:$U$65,3,FALSE),0)</f>
        <v>0</v>
      </c>
      <c r="E84" s="4">
        <f>IF(NOT(ISBLANK(E83)),VLOOKUP(E83,$S$36:$U$65,3,FALSE),0)</f>
        <v>0</v>
      </c>
      <c r="G84" s="4">
        <f>IF(NOT(ISBLANK(G83)),VLOOKUP(G83,$S$36:$U$65,2,FALSE),0)</f>
        <v>4.71</v>
      </c>
      <c r="H84" s="4">
        <f>IF(NOT(ISBLANK(H83)),VLOOKUP(H83,$S$36:$U$65,2,FALSE),0)</f>
        <v>0</v>
      </c>
      <c r="I84" s="1"/>
    </row>
    <row r="85" spans="1:17" x14ac:dyDescent="0.25">
      <c r="A85" s="2" t="s">
        <v>9</v>
      </c>
      <c r="C85" s="6">
        <f>C84*C82</f>
        <v>2801.52</v>
      </c>
      <c r="D85" s="6">
        <f>D84*D82</f>
        <v>0</v>
      </c>
      <c r="E85" s="6">
        <f>E84*E82</f>
        <v>0</v>
      </c>
      <c r="F85" s="1"/>
      <c r="G85" s="6">
        <f>G82*G84</f>
        <v>4710</v>
      </c>
      <c r="H85" s="6">
        <f>H82*H84</f>
        <v>0</v>
      </c>
      <c r="J85" s="1" t="str">
        <f>A82</f>
        <v>Coal Power</v>
      </c>
      <c r="K85" s="4">
        <f>SUM(G85:H85)-SUM(C85:E85)</f>
        <v>1908.48</v>
      </c>
      <c r="L85" s="4">
        <f>SUM(G85:H85)/B82</f>
        <v>117.75</v>
      </c>
      <c r="M85" s="4">
        <f>K85/B82</f>
        <v>47.712000000000003</v>
      </c>
      <c r="N85" s="3">
        <f>K85/SUM(G85:H85)</f>
        <v>0.40519745222929937</v>
      </c>
      <c r="O85" s="1"/>
      <c r="P85" s="4">
        <v>252962</v>
      </c>
      <c r="Q85" s="5">
        <f>P85/K85*B82</f>
        <v>5301.8527833668677</v>
      </c>
    </row>
    <row r="87" spans="1:17" x14ac:dyDescent="0.25">
      <c r="A87" t="s">
        <v>59</v>
      </c>
      <c r="B87">
        <f>VLOOKUP($A87,$A$5:$H$32,2,FALSE)</f>
        <v>40</v>
      </c>
      <c r="C87">
        <f>VLOOKUP($A87,$A$5:$H$32,3,FALSE)</f>
        <v>0</v>
      </c>
      <c r="D87">
        <f>VLOOKUP($A87,$A$5:$H$32,4,FALSE)</f>
        <v>0</v>
      </c>
      <c r="E87">
        <f>VLOOKUP($A87,$A$5:$H$32,5,FALSE)</f>
        <v>0</v>
      </c>
      <c r="G87">
        <f>VLOOKUP($A87,$A$5:$H$32,7,FALSE)</f>
        <v>140</v>
      </c>
      <c r="H87">
        <f>VLOOKUP($A87,$A$5:$H$32,8,FALSE)</f>
        <v>0</v>
      </c>
    </row>
    <row r="88" spans="1:17" x14ac:dyDescent="0.25">
      <c r="A88" s="2" t="s">
        <v>45</v>
      </c>
      <c r="G88" s="4" t="s">
        <v>17</v>
      </c>
    </row>
    <row r="89" spans="1:17" x14ac:dyDescent="0.25">
      <c r="A89" s="2" t="s">
        <v>10</v>
      </c>
      <c r="C89" s="4">
        <f>IF(NOT(ISBLANK(C88)),VLOOKUP(C88,$S$36:$U$65,3,FALSE),0)</f>
        <v>0</v>
      </c>
      <c r="D89" s="4">
        <f>IF(NOT(ISBLANK(D88)),VLOOKUP(D88,$S$36:$U$65,3,FALSE),0)</f>
        <v>0</v>
      </c>
      <c r="E89" s="4">
        <f>IF(NOT(ISBLANK(E88)),VLOOKUP(E88,$S$36:$U$65,3,FALSE),0)</f>
        <v>0</v>
      </c>
      <c r="G89" s="4">
        <f>IF(NOT(ISBLANK(G88)),VLOOKUP(G88,$S$36:$U$65,2,FALSE),0)</f>
        <v>0.45000000000000018</v>
      </c>
      <c r="H89" s="4">
        <f>IF(NOT(ISBLANK(H88)),VLOOKUP(H88,$S$36:$U$65,2,FALSE),0)</f>
        <v>0</v>
      </c>
      <c r="I89" s="1"/>
    </row>
    <row r="90" spans="1:17" x14ac:dyDescent="0.25">
      <c r="A90" s="2" t="s">
        <v>9</v>
      </c>
      <c r="C90" s="6">
        <f>C89*C87</f>
        <v>0</v>
      </c>
      <c r="D90" s="6">
        <f>D89*D87</f>
        <v>0</v>
      </c>
      <c r="E90" s="6">
        <f>E89*E87</f>
        <v>0</v>
      </c>
      <c r="F90" s="1"/>
      <c r="G90" s="6">
        <f>G87*G89</f>
        <v>63.000000000000028</v>
      </c>
      <c r="H90" s="6">
        <f>H87*H89</f>
        <v>0</v>
      </c>
      <c r="J90" s="1" t="str">
        <f>A87</f>
        <v>Quarry</v>
      </c>
      <c r="K90" s="4">
        <f>SUM(G90:H90)-SUM(C90:E90)</f>
        <v>63.000000000000028</v>
      </c>
      <c r="L90" s="4">
        <f>SUM(G90:H90)/B87</f>
        <v>1.5750000000000006</v>
      </c>
      <c r="M90" s="4">
        <f>K90/B87</f>
        <v>1.5750000000000006</v>
      </c>
      <c r="N90" s="3">
        <f>K90/SUM(G90:H90)</f>
        <v>1</v>
      </c>
      <c r="O90" s="1"/>
      <c r="P90" s="4">
        <v>1641</v>
      </c>
      <c r="Q90" s="5">
        <f>P90/K90*B87</f>
        <v>1041.9047619047615</v>
      </c>
    </row>
    <row r="92" spans="1:17" x14ac:dyDescent="0.25">
      <c r="A92" t="s">
        <v>60</v>
      </c>
      <c r="B92">
        <f>VLOOKUP($A92,$A$5:$H$32,2,FALSE)</f>
        <v>15</v>
      </c>
      <c r="C92">
        <f>VLOOKUP($A92,$A$5:$H$32,3,FALSE)</f>
        <v>120</v>
      </c>
      <c r="D92">
        <f>VLOOKUP($A92,$A$5:$H$32,4,FALSE)</f>
        <v>24</v>
      </c>
      <c r="E92">
        <f>VLOOKUP($A92,$A$5:$H$32,5,FALSE)</f>
        <v>0</v>
      </c>
      <c r="G92">
        <f>VLOOKUP($A92,$A$5:$H$32,7,FALSE)</f>
        <v>82</v>
      </c>
      <c r="H92">
        <f>VLOOKUP($A92,$A$5:$H$32,8,FALSE)</f>
        <v>0</v>
      </c>
    </row>
    <row r="93" spans="1:17" x14ac:dyDescent="0.25">
      <c r="A93" s="2" t="s">
        <v>45</v>
      </c>
      <c r="C93" s="4" t="s">
        <v>17</v>
      </c>
      <c r="D93" s="4" t="s">
        <v>15</v>
      </c>
      <c r="G93" s="4" t="s">
        <v>16</v>
      </c>
    </row>
    <row r="94" spans="1:17" x14ac:dyDescent="0.25">
      <c r="A94" s="2" t="s">
        <v>10</v>
      </c>
      <c r="C94" s="4">
        <f>IF(NOT(ISBLANK(C93)),VLOOKUP(C93,$S$36:$U$65,3,FALSE),0)</f>
        <v>11.02</v>
      </c>
      <c r="D94" s="4">
        <f>IF(NOT(ISBLANK(D93)),VLOOKUP(D93,$S$36:$U$65,3,FALSE),0)</f>
        <v>5.2</v>
      </c>
      <c r="E94" s="4">
        <f>IF(NOT(ISBLANK(E93)),VLOOKUP(E93,$S$36:$U$65,3,FALSE),0)</f>
        <v>0</v>
      </c>
      <c r="G94" s="4">
        <f>IF(NOT(ISBLANK(G93)),VLOOKUP(G93,$S$36:$U$65,2,FALSE),0)</f>
        <v>6.41</v>
      </c>
      <c r="H94" s="4">
        <f>IF(NOT(ISBLANK(H93)),VLOOKUP(H93,$S$36:$U$65,2,FALSE),0)</f>
        <v>0</v>
      </c>
      <c r="I94" s="1"/>
    </row>
    <row r="95" spans="1:17" x14ac:dyDescent="0.25">
      <c r="A95" s="2" t="s">
        <v>9</v>
      </c>
      <c r="C95" s="6">
        <f>C94*C92</f>
        <v>1322.3999999999999</v>
      </c>
      <c r="D95" s="6">
        <f>D94*D92</f>
        <v>124.80000000000001</v>
      </c>
      <c r="E95" s="6">
        <f>E94*E92</f>
        <v>0</v>
      </c>
      <c r="F95" s="1"/>
      <c r="G95" s="6">
        <f>G92*G94</f>
        <v>525.62</v>
      </c>
      <c r="H95" s="6">
        <f>H92*H94</f>
        <v>0</v>
      </c>
      <c r="J95" s="1" t="str">
        <f>A92</f>
        <v>Gravel Plant</v>
      </c>
      <c r="K95" s="4">
        <f>SUM(G95:H95)-SUM(C95:E95)</f>
        <v>-921.57999999999981</v>
      </c>
      <c r="L95" s="4">
        <f>SUM(G95:H95)/B92</f>
        <v>35.041333333333334</v>
      </c>
      <c r="M95" s="4">
        <f>K95/B92</f>
        <v>-61.438666666666656</v>
      </c>
      <c r="N95" s="3">
        <f>K95/SUM(G95:H95)</f>
        <v>-1.7533198888931163</v>
      </c>
      <c r="O95" s="1"/>
      <c r="P95" s="4">
        <v>36782</v>
      </c>
      <c r="Q95" s="5">
        <f>P95/K95*B92</f>
        <v>-598.67835673517231</v>
      </c>
    </row>
    <row r="97" spans="1:17" x14ac:dyDescent="0.25">
      <c r="A97" t="s">
        <v>61</v>
      </c>
      <c r="B97">
        <f>VLOOKUP($A97,$A$5:$H$32,2,FALSE)</f>
        <v>30</v>
      </c>
      <c r="C97">
        <f>VLOOKUP($A97,$A$5:$H$32,3,FALSE)</f>
        <v>22</v>
      </c>
      <c r="D97">
        <f>VLOOKUP($A97,$A$5:$H$32,4,FALSE)</f>
        <v>210</v>
      </c>
      <c r="E97">
        <f>VLOOKUP($A97,$A$5:$H$32,5,FALSE)</f>
        <v>6</v>
      </c>
      <c r="G97">
        <f>VLOOKUP($A97,$A$5:$H$32,7,FALSE)</f>
        <v>81</v>
      </c>
      <c r="H97">
        <f>VLOOKUP($A97,$A$5:$H$32,8,FALSE)</f>
        <v>0</v>
      </c>
    </row>
    <row r="98" spans="1:17" x14ac:dyDescent="0.25">
      <c r="A98" s="2" t="s">
        <v>45</v>
      </c>
      <c r="C98" s="4" t="s">
        <v>25</v>
      </c>
      <c r="D98" s="4" t="s">
        <v>16</v>
      </c>
      <c r="E98" s="4" t="s">
        <v>15</v>
      </c>
      <c r="G98" s="4" t="s">
        <v>34</v>
      </c>
    </row>
    <row r="99" spans="1:17" x14ac:dyDescent="0.25">
      <c r="A99" s="2" t="s">
        <v>10</v>
      </c>
      <c r="C99" s="4">
        <f>IF(NOT(ISBLANK(C98)),VLOOKUP(C98,$S$36:$U$65,3,FALSE),0)</f>
        <v>116.73</v>
      </c>
      <c r="D99" s="4">
        <f>IF(NOT(ISBLANK(D98)),VLOOKUP(D98,$S$36:$U$65,3,FALSE),0)</f>
        <v>17.61</v>
      </c>
      <c r="E99" s="4">
        <f>IF(NOT(ISBLANK(E98)),VLOOKUP(E98,$S$36:$U$65,3,FALSE),0)</f>
        <v>5.2</v>
      </c>
      <c r="G99" s="4">
        <f>IF(NOT(ISBLANK(G98)),VLOOKUP(G98,$S$36:$U$65,2,FALSE),0)</f>
        <v>69.260000000000005</v>
      </c>
      <c r="H99" s="4">
        <f>IF(NOT(ISBLANK(H98)),VLOOKUP(H98,$S$36:$U$65,2,FALSE),0)</f>
        <v>0</v>
      </c>
      <c r="I99" s="1"/>
    </row>
    <row r="100" spans="1:17" x14ac:dyDescent="0.25">
      <c r="A100" s="2" t="s">
        <v>9</v>
      </c>
      <c r="C100" s="6">
        <f>C99*C97</f>
        <v>2568.06</v>
      </c>
      <c r="D100" s="6">
        <f>D99*D97</f>
        <v>3698.1</v>
      </c>
      <c r="E100" s="6">
        <f>E99*E97</f>
        <v>31.200000000000003</v>
      </c>
      <c r="F100" s="1"/>
      <c r="G100" s="6">
        <f>G97*G99</f>
        <v>5610.06</v>
      </c>
      <c r="H100" s="6">
        <f>H97*H99</f>
        <v>0</v>
      </c>
      <c r="J100" s="1" t="str">
        <f>A97</f>
        <v>Cement Plant</v>
      </c>
      <c r="K100" s="4">
        <f>SUM(G100:H100)-SUM(C100:E100)</f>
        <v>-687.29999999999927</v>
      </c>
      <c r="L100" s="4">
        <f>SUM(G100:H100)/B97</f>
        <v>187.00200000000001</v>
      </c>
      <c r="M100" s="4">
        <f>K100/B97</f>
        <v>-22.909999999999975</v>
      </c>
      <c r="N100" s="3">
        <f>K100/SUM(G100:H100)</f>
        <v>-0.12251205869455928</v>
      </c>
      <c r="O100" s="1"/>
      <c r="P100" s="4">
        <v>203603</v>
      </c>
      <c r="Q100" s="5">
        <f>P100/K100*B97</f>
        <v>-8887.0798777826385</v>
      </c>
    </row>
    <row r="102" spans="1:17" x14ac:dyDescent="0.25">
      <c r="A102" t="s">
        <v>62</v>
      </c>
      <c r="B102">
        <f>VLOOKUP($A102,$A$5:$H$32,2,FALSE)</f>
        <v>5</v>
      </c>
      <c r="C102">
        <f>VLOOKUP($A102,$A$5:$H$32,3,FALSE)</f>
        <v>135</v>
      </c>
      <c r="D102">
        <f>VLOOKUP($A102,$A$5:$H$32,4,FALSE)</f>
        <v>30</v>
      </c>
      <c r="E102">
        <f>VLOOKUP($A102,$A$5:$H$32,5,FALSE)</f>
        <v>12</v>
      </c>
      <c r="G102">
        <f>VLOOKUP($A102,$A$5:$H$32,7,FALSE)</f>
        <v>175</v>
      </c>
      <c r="H102">
        <f>VLOOKUP($A102,$A$5:$H$32,8,FALSE)</f>
        <v>0</v>
      </c>
    </row>
    <row r="103" spans="1:17" x14ac:dyDescent="0.25">
      <c r="A103" s="2" t="s">
        <v>45</v>
      </c>
      <c r="C103" s="4" t="s">
        <v>16</v>
      </c>
      <c r="D103" s="4" t="s">
        <v>34</v>
      </c>
      <c r="E103" s="4" t="s">
        <v>15</v>
      </c>
      <c r="G103" s="4" t="s">
        <v>40</v>
      </c>
    </row>
    <row r="104" spans="1:17" x14ac:dyDescent="0.25">
      <c r="A104" s="2" t="s">
        <v>10</v>
      </c>
      <c r="C104" s="4">
        <f>IF(NOT(ISBLANK(C103)),VLOOKUP(C103,$S$36:$U$65,3,FALSE),0)</f>
        <v>17.61</v>
      </c>
      <c r="D104" s="4">
        <f>IF(NOT(ISBLANK(D103)),VLOOKUP(D103,$S$36:$U$65,3,FALSE),0)</f>
        <v>87.08</v>
      </c>
      <c r="E104" s="4">
        <f>IF(NOT(ISBLANK(E103)),VLOOKUP(E103,$S$36:$U$65,3,FALSE),0)</f>
        <v>5.2</v>
      </c>
      <c r="G104" s="4">
        <f>IF(NOT(ISBLANK(G103)),VLOOKUP(G103,$S$36:$U$65,2,FALSE),0)</f>
        <v>11.41</v>
      </c>
      <c r="H104" s="4">
        <f>IF(NOT(ISBLANK(H103)),VLOOKUP(H103,$S$36:$U$65,2,FALSE),0)</f>
        <v>0</v>
      </c>
      <c r="I104" s="1"/>
    </row>
    <row r="105" spans="1:17" x14ac:dyDescent="0.25">
      <c r="A105" s="2" t="s">
        <v>9</v>
      </c>
      <c r="C105" s="6">
        <f>C104*C102</f>
        <v>2377.35</v>
      </c>
      <c r="D105" s="6">
        <f>D104*D102</f>
        <v>2612.4</v>
      </c>
      <c r="E105" s="6">
        <f>E104*E102</f>
        <v>62.400000000000006</v>
      </c>
      <c r="F105" s="1"/>
      <c r="G105" s="6">
        <f>G102*G104</f>
        <v>1996.75</v>
      </c>
      <c r="H105" s="6">
        <f>H102*H104</f>
        <v>0</v>
      </c>
      <c r="J105" s="1" t="str">
        <f>A102</f>
        <v>Concrete Plant</v>
      </c>
      <c r="K105" s="4">
        <f>SUM(G105:H105)-SUM(C105:E105)</f>
        <v>-3055.3999999999996</v>
      </c>
      <c r="L105" s="4">
        <f>SUM(G105:H105)/B102</f>
        <v>399.35</v>
      </c>
      <c r="M105" s="4">
        <f>K105/B102</f>
        <v>-611.07999999999993</v>
      </c>
      <c r="N105" s="3">
        <f>K105/SUM(G105:H105)</f>
        <v>-1.5301865531488668</v>
      </c>
      <c r="O105" s="1"/>
      <c r="P105" s="4">
        <v>34720</v>
      </c>
      <c r="Q105" s="5">
        <f>P105/K105*B102</f>
        <v>-56.817437978660735</v>
      </c>
    </row>
    <row r="107" spans="1:17" x14ac:dyDescent="0.25">
      <c r="A107" t="s">
        <v>63</v>
      </c>
      <c r="B107">
        <f>VLOOKUP($A107,$A$5:$H$32,2,FALSE)</f>
        <v>1</v>
      </c>
      <c r="C107">
        <f>VLOOKUP($A107,$A$5:$H$32,3,FALSE)</f>
        <v>3.9</v>
      </c>
      <c r="D107">
        <f>VLOOKUP($A107,$A$5:$H$32,4,FALSE)</f>
        <v>0</v>
      </c>
      <c r="E107">
        <f>VLOOKUP($A107,$A$5:$H$32,5,FALSE)</f>
        <v>0</v>
      </c>
      <c r="G107">
        <f>VLOOKUP($A107,$A$5:$H$32,7,FALSE)</f>
        <v>3.5</v>
      </c>
      <c r="H107">
        <f>VLOOKUP($A107,$A$5:$H$32,8,FALSE)</f>
        <v>0</v>
      </c>
    </row>
    <row r="108" spans="1:17" x14ac:dyDescent="0.25">
      <c r="A108" s="2" t="s">
        <v>45</v>
      </c>
      <c r="C108" s="4" t="s">
        <v>15</v>
      </c>
      <c r="G108" s="4" t="s">
        <v>23</v>
      </c>
    </row>
    <row r="109" spans="1:17" x14ac:dyDescent="0.25">
      <c r="A109" s="2" t="s">
        <v>10</v>
      </c>
      <c r="C109" s="4">
        <f>IF(NOT(ISBLANK(C108)),VLOOKUP(C108,$S$36:$U$65,3,FALSE),0)</f>
        <v>5.2</v>
      </c>
      <c r="D109" s="4">
        <f>IF(NOT(ISBLANK(D108)),VLOOKUP(D108,$S$36:$U$65,3,FALSE),0)</f>
        <v>0</v>
      </c>
      <c r="E109" s="4">
        <f>IF(NOT(ISBLANK(E108)),VLOOKUP(E108,$S$36:$U$65,3,FALSE),0)</f>
        <v>0</v>
      </c>
      <c r="G109" s="4">
        <f>IF(NOT(ISBLANK(G108)),VLOOKUP(G108,$S$36:$U$65,2,FALSE),0)</f>
        <v>50.02</v>
      </c>
      <c r="H109" s="4">
        <f>IF(NOT(ISBLANK(H108)),VLOOKUP(H108,$S$36:$U$65,2,FALSE),0)</f>
        <v>0</v>
      </c>
      <c r="I109" s="1"/>
    </row>
    <row r="110" spans="1:17" x14ac:dyDescent="0.25">
      <c r="A110" s="2" t="s">
        <v>9</v>
      </c>
      <c r="C110" s="6">
        <f>C109*C107</f>
        <v>20.28</v>
      </c>
      <c r="D110" s="6">
        <f>D109*D107</f>
        <v>0</v>
      </c>
      <c r="E110" s="6">
        <f>E109*E107</f>
        <v>0</v>
      </c>
      <c r="F110" s="1"/>
      <c r="G110" s="6">
        <f>G107*G109</f>
        <v>175.07000000000002</v>
      </c>
      <c r="H110" s="6">
        <f>H107*H109</f>
        <v>0</v>
      </c>
      <c r="J110" s="1" t="str">
        <f>A107</f>
        <v>Oil rig</v>
      </c>
      <c r="K110" s="4">
        <f>SUM(G110:H110)-SUM(C110:E110)</f>
        <v>154.79000000000002</v>
      </c>
      <c r="L110" s="4">
        <f>SUM(G110:H110)/B107</f>
        <v>175.07000000000002</v>
      </c>
      <c r="M110" s="4">
        <f>K110/B107</f>
        <v>154.79000000000002</v>
      </c>
      <c r="N110" s="3">
        <f>K110/SUM(G110:H110)</f>
        <v>0.8841606214656994</v>
      </c>
      <c r="O110" s="1"/>
      <c r="P110" s="4">
        <v>6069</v>
      </c>
      <c r="Q110" s="5">
        <f>P110/K110*B107</f>
        <v>39.207959170489048</v>
      </c>
    </row>
    <row r="112" spans="1:17" x14ac:dyDescent="0.25">
      <c r="A112" t="s">
        <v>64</v>
      </c>
      <c r="B112">
        <f>VLOOKUP($A112,$A$5:$H$32,2,FALSE)</f>
        <v>500</v>
      </c>
      <c r="C112">
        <f>VLOOKUP($A112,$A$5:$H$32,3,FALSE)</f>
        <v>250</v>
      </c>
      <c r="D112">
        <f>VLOOKUP($A112,$A$5:$H$32,4,FALSE)</f>
        <v>12</v>
      </c>
      <c r="E112">
        <f>VLOOKUP($A112,$A$5:$H$32,5,FALSE)</f>
        <v>0</v>
      </c>
      <c r="G112">
        <f>VLOOKUP($A112,$A$5:$H$32,7,FALSE)</f>
        <v>100</v>
      </c>
      <c r="H112">
        <f>VLOOKUP($A112,$A$5:$H$32,8,FALSE)</f>
        <v>60</v>
      </c>
    </row>
    <row r="113" spans="1:17" x14ac:dyDescent="0.25">
      <c r="A113" s="2" t="s">
        <v>45</v>
      </c>
      <c r="C113" s="4" t="s">
        <v>23</v>
      </c>
      <c r="D113" s="4" t="s">
        <v>15</v>
      </c>
      <c r="G113" s="4" t="s">
        <v>31</v>
      </c>
      <c r="H113" s="4" t="s">
        <v>29</v>
      </c>
    </row>
    <row r="114" spans="1:17" x14ac:dyDescent="0.25">
      <c r="A114" s="2" t="s">
        <v>10</v>
      </c>
      <c r="C114" s="4">
        <f>IF(NOT(ISBLANK(C113)),VLOOKUP(C113,$S$36:$U$65,3,FALSE),0)</f>
        <v>65.81</v>
      </c>
      <c r="D114" s="4">
        <f>IF(NOT(ISBLANK(D113)),VLOOKUP(D113,$S$36:$U$65,3,FALSE),0)</f>
        <v>5.2</v>
      </c>
      <c r="E114" s="4">
        <f>IF(NOT(ISBLANK(E113)),VLOOKUP(E113,$S$36:$U$65,3,FALSE),0)</f>
        <v>0</v>
      </c>
      <c r="G114" s="4">
        <f>IF(NOT(ISBLANK(G113)),VLOOKUP(G113,$S$36:$U$65,2,FALSE),0)</f>
        <v>165.35</v>
      </c>
      <c r="H114" s="4">
        <f>IF(NOT(ISBLANK(H113)),VLOOKUP(H113,$S$36:$U$65,2,FALSE),0)</f>
        <v>228.07</v>
      </c>
      <c r="I114" s="1"/>
    </row>
    <row r="115" spans="1:17" x14ac:dyDescent="0.25">
      <c r="A115" s="2" t="s">
        <v>9</v>
      </c>
      <c r="C115" s="6">
        <f>C114*C112</f>
        <v>16452.5</v>
      </c>
      <c r="D115" s="6">
        <f>D114*D112</f>
        <v>62.400000000000006</v>
      </c>
      <c r="E115" s="6">
        <f>E114*E112</f>
        <v>0</v>
      </c>
      <c r="F115" s="1"/>
      <c r="G115" s="6">
        <f>G112*G114</f>
        <v>16535</v>
      </c>
      <c r="H115" s="6">
        <f>H112*H114</f>
        <v>13684.199999999999</v>
      </c>
      <c r="J115" s="1" t="str">
        <f>A112</f>
        <v>Refinery</v>
      </c>
      <c r="K115" s="4">
        <f>SUM(G115:H115)-SUM(C115:E115)</f>
        <v>13704.299999999996</v>
      </c>
      <c r="L115" s="4">
        <f>SUM(G115:H115)/B112</f>
        <v>60.438399999999994</v>
      </c>
      <c r="M115" s="4">
        <f>K115/B112</f>
        <v>27.408599999999993</v>
      </c>
      <c r="N115" s="3">
        <f>K115/SUM(G115:H115)</f>
        <v>0.45349645258643501</v>
      </c>
      <c r="O115" s="1"/>
      <c r="P115" s="4">
        <v>296868</v>
      </c>
      <c r="Q115" s="5">
        <f>P115/K115*B112</f>
        <v>10831.198966747668</v>
      </c>
    </row>
    <row r="117" spans="1:17" x14ac:dyDescent="0.25">
      <c r="A117" t="s">
        <v>39</v>
      </c>
      <c r="B117">
        <f>VLOOKUP($A117,$A$5:$H$32,2,FALSE)</f>
        <v>5</v>
      </c>
      <c r="C117">
        <f>VLOOKUP($A117,$A$5:$H$32,3,FALSE)</f>
        <v>125</v>
      </c>
      <c r="D117">
        <f>VLOOKUP($A117,$A$5:$H$32,4,FALSE)</f>
        <v>20</v>
      </c>
      <c r="E117">
        <f>VLOOKUP($A117,$A$5:$H$32,5,FALSE)</f>
        <v>15</v>
      </c>
      <c r="G117">
        <f>VLOOKUP($A117,$A$5:$H$32,7,FALSE)</f>
        <v>145</v>
      </c>
      <c r="H117">
        <f>VLOOKUP($A117,$A$5:$H$32,8,FALSE)</f>
        <v>0</v>
      </c>
    </row>
    <row r="118" spans="1:17" x14ac:dyDescent="0.25">
      <c r="A118" s="2" t="s">
        <v>45</v>
      </c>
      <c r="C118" s="4" t="s">
        <v>16</v>
      </c>
      <c r="D118" s="4" t="s">
        <v>29</v>
      </c>
      <c r="E118" s="4" t="s">
        <v>15</v>
      </c>
      <c r="G118" s="4" t="s">
        <v>39</v>
      </c>
    </row>
    <row r="119" spans="1:17" x14ac:dyDescent="0.25">
      <c r="A119" s="2" t="s">
        <v>10</v>
      </c>
      <c r="C119" s="4">
        <f>IF(NOT(ISBLANK(C118)),VLOOKUP(C118,$S$36:$U$65,3,FALSE),0)</f>
        <v>17.61</v>
      </c>
      <c r="D119" s="4">
        <f>IF(NOT(ISBLANK(D118)),VLOOKUP(D118,$S$36:$U$65,3,FALSE),0)</f>
        <v>262.61</v>
      </c>
      <c r="E119" s="4">
        <f>IF(NOT(ISBLANK(E118)),VLOOKUP(E118,$S$36:$U$65,3,FALSE),0)</f>
        <v>5.2</v>
      </c>
      <c r="G119" s="4">
        <f>IF(NOT(ISBLANK(G118)),VLOOKUP(G118,$S$36:$U$65,2,FALSE),0)</f>
        <v>34.14</v>
      </c>
      <c r="H119" s="4">
        <f>IF(NOT(ISBLANK(H118)),VLOOKUP(H118,$S$36:$U$65,2,FALSE),0)</f>
        <v>0</v>
      </c>
      <c r="I119" s="1"/>
    </row>
    <row r="120" spans="1:17" x14ac:dyDescent="0.25">
      <c r="A120" s="2" t="s">
        <v>9</v>
      </c>
      <c r="C120" s="6">
        <f>C119*C117</f>
        <v>2201.25</v>
      </c>
      <c r="D120" s="6">
        <f>D119*D117</f>
        <v>5252.2000000000007</v>
      </c>
      <c r="E120" s="6">
        <f>E119*E117</f>
        <v>78</v>
      </c>
      <c r="F120" s="1"/>
      <c r="G120" s="6">
        <f>G117*G119</f>
        <v>4950.3</v>
      </c>
      <c r="H120" s="6">
        <f>H117*H119</f>
        <v>0</v>
      </c>
      <c r="J120" s="1" t="str">
        <f>A117</f>
        <v>Asphalt</v>
      </c>
      <c r="K120" s="4">
        <f>SUM(G120:H120)-SUM(C120:E120)</f>
        <v>-2581.1500000000005</v>
      </c>
      <c r="L120" s="4">
        <f>SUM(G120:H120)/B117</f>
        <v>990.06000000000006</v>
      </c>
      <c r="M120" s="4">
        <f>K120/B117</f>
        <v>-516.23000000000013</v>
      </c>
      <c r="N120" s="3">
        <f>K120/SUM(G120:H120)</f>
        <v>-0.52141284366604057</v>
      </c>
      <c r="O120" s="1"/>
      <c r="P120" s="4">
        <v>38940</v>
      </c>
      <c r="Q120" s="5">
        <f>P120/K120*B117</f>
        <v>-75.431493714042176</v>
      </c>
    </row>
    <row r="122" spans="1:17" x14ac:dyDescent="0.25">
      <c r="A122" t="s">
        <v>65</v>
      </c>
      <c r="B122">
        <f>VLOOKUP($A122,$A$5:$H$32,2,FALSE)</f>
        <v>50</v>
      </c>
      <c r="C122">
        <f>VLOOKUP($A122,$A$5:$H$32,3,FALSE)</f>
        <v>10</v>
      </c>
      <c r="D122">
        <f>VLOOKUP($A122,$A$5:$H$32,4,FALSE)</f>
        <v>0</v>
      </c>
      <c r="E122">
        <f>VLOOKUP($A122,$A$5:$H$32,5,FALSE)</f>
        <v>0</v>
      </c>
      <c r="G122">
        <f>VLOOKUP($A122,$A$5:$H$32,7,FALSE)</f>
        <v>3</v>
      </c>
      <c r="H122">
        <f>VLOOKUP($A122,$A$5:$H$32,8,FALSE)</f>
        <v>0</v>
      </c>
    </row>
    <row r="123" spans="1:17" x14ac:dyDescent="0.25">
      <c r="A123" s="2" t="s">
        <v>45</v>
      </c>
      <c r="C123" s="4" t="s">
        <v>18</v>
      </c>
      <c r="G123" s="4" t="s">
        <v>38</v>
      </c>
    </row>
    <row r="124" spans="1:17" x14ac:dyDescent="0.25">
      <c r="A124" s="2" t="s">
        <v>10</v>
      </c>
      <c r="C124" s="4">
        <f>IF(NOT(ISBLANK(C123)),VLOOKUP(C123,$S$36:$U$65,3,FALSE),0)</f>
        <v>22.95</v>
      </c>
      <c r="D124" s="4">
        <f>IF(NOT(ISBLANK(D123)),VLOOKUP(D123,$S$36:$U$65,3,FALSE),0)</f>
        <v>0</v>
      </c>
      <c r="E124" s="4">
        <f>IF(NOT(ISBLANK(E123)),VLOOKUP(E123,$S$36:$U$65,3,FALSE),0)</f>
        <v>0</v>
      </c>
      <c r="G124" s="4">
        <f>IF(NOT(ISBLANK(G123)),VLOOKUP(G123,$S$36:$U$65,2,FALSE),0)</f>
        <v>1617.4</v>
      </c>
      <c r="H124" s="4">
        <f>IF(NOT(ISBLANK(H123)),VLOOKUP(H123,$S$36:$U$65,2,FALSE),0)</f>
        <v>0</v>
      </c>
      <c r="I124" s="1"/>
    </row>
    <row r="125" spans="1:17" x14ac:dyDescent="0.25">
      <c r="A125" s="2" t="s">
        <v>9</v>
      </c>
      <c r="C125" s="6">
        <f>C124*C122</f>
        <v>229.5</v>
      </c>
      <c r="D125" s="6">
        <f>D124*D122</f>
        <v>0</v>
      </c>
      <c r="E125" s="6">
        <f>E124*E122</f>
        <v>0</v>
      </c>
      <c r="F125" s="1"/>
      <c r="G125" s="6">
        <f>G122*G124</f>
        <v>4852.2000000000007</v>
      </c>
      <c r="H125" s="6">
        <f>H122*H124</f>
        <v>0</v>
      </c>
      <c r="J125" s="1" t="str">
        <f>A122</f>
        <v>Livestock Farm</v>
      </c>
      <c r="K125" s="4">
        <f>SUM(G125:H125)-SUM(C125:E125)</f>
        <v>4622.7000000000007</v>
      </c>
      <c r="L125" s="4">
        <f>SUM(G125:H125)/B122</f>
        <v>97.044000000000011</v>
      </c>
      <c r="M125" s="4">
        <f>K125/B122</f>
        <v>92.454000000000008</v>
      </c>
      <c r="N125" s="3">
        <f>K125/SUM(G125:H125)</f>
        <v>0.95270186719426242</v>
      </c>
      <c r="O125" s="1"/>
      <c r="P125" s="4">
        <v>47934</v>
      </c>
      <c r="Q125" s="5">
        <f>P125/K125*B122</f>
        <v>518.46323577130238</v>
      </c>
    </row>
    <row r="127" spans="1:17" x14ac:dyDescent="0.25">
      <c r="A127" t="s">
        <v>66</v>
      </c>
      <c r="B127">
        <f>VLOOKUP($A127,$A$5:$H$32,2,FALSE)</f>
        <v>50</v>
      </c>
      <c r="C127">
        <f>VLOOKUP($A127,$A$5:$H$32,3,FALSE)</f>
        <v>250</v>
      </c>
      <c r="D127">
        <f>VLOOKUP($A127,$A$5:$H$32,4,FALSE)</f>
        <v>0</v>
      </c>
      <c r="E127">
        <f>VLOOKUP($A127,$A$5:$H$32,5,FALSE)</f>
        <v>0</v>
      </c>
      <c r="G127">
        <f>VLOOKUP($A127,$A$5:$H$32,7,FALSE)</f>
        <v>125</v>
      </c>
      <c r="H127">
        <f>VLOOKUP($A127,$A$5:$H$32,8,FALSE)</f>
        <v>0</v>
      </c>
    </row>
    <row r="128" spans="1:17" x14ac:dyDescent="0.25">
      <c r="A128" s="2" t="s">
        <v>45</v>
      </c>
      <c r="C128" s="4" t="s">
        <v>38</v>
      </c>
      <c r="G128" s="4" t="s">
        <v>37</v>
      </c>
    </row>
    <row r="129" spans="1:17" x14ac:dyDescent="0.25">
      <c r="A129" s="2" t="s">
        <v>10</v>
      </c>
      <c r="C129" s="4">
        <f>IF(NOT(ISBLANK(C128)),VLOOKUP(C128,$S$36:$U$65,3,FALSE),0)</f>
        <v>1798.17</v>
      </c>
      <c r="D129" s="4">
        <f>IF(NOT(ISBLANK(D128)),VLOOKUP(D128,$S$36:$U$65,3,FALSE),0)</f>
        <v>0</v>
      </c>
      <c r="E129" s="4">
        <f>IF(NOT(ISBLANK(E128)),VLOOKUP(E128,$S$36:$U$65,3,FALSE),0)</f>
        <v>0</v>
      </c>
      <c r="G129" s="4">
        <f>IF(NOT(ISBLANK(G128)),VLOOKUP(G128,$S$36:$U$65,2,FALSE),0)</f>
        <v>2347.73</v>
      </c>
      <c r="H129" s="4">
        <f>IF(NOT(ISBLANK(H128)),VLOOKUP(H128,$S$36:$U$65,2,FALSE),0)</f>
        <v>0</v>
      </c>
      <c r="I129" s="1"/>
    </row>
    <row r="130" spans="1:17" x14ac:dyDescent="0.25">
      <c r="A130" s="2" t="s">
        <v>9</v>
      </c>
      <c r="C130" s="6">
        <f>C129*C127</f>
        <v>449542.5</v>
      </c>
      <c r="D130" s="6">
        <f>D129*D127</f>
        <v>0</v>
      </c>
      <c r="E130" s="6">
        <f>E129*E127</f>
        <v>0</v>
      </c>
      <c r="F130" s="1"/>
      <c r="G130" s="6">
        <f>G127*G129</f>
        <v>293466.25</v>
      </c>
      <c r="H130" s="6">
        <f>H127*H129</f>
        <v>0</v>
      </c>
      <c r="J130" s="1" t="str">
        <f>A127</f>
        <v>Slaughterhouse</v>
      </c>
      <c r="K130" s="4">
        <f>SUM(G130:H130)-SUM(C130:E130)</f>
        <v>-156076.25</v>
      </c>
      <c r="L130" s="4">
        <f>SUM(G130:H130)/B127</f>
        <v>5869.3249999999998</v>
      </c>
      <c r="M130" s="4">
        <f>K130/B127</f>
        <v>-3121.5250000000001</v>
      </c>
      <c r="N130" s="3">
        <f>K130/SUM(G130:H130)</f>
        <v>-0.5318371362976152</v>
      </c>
      <c r="O130" s="1"/>
      <c r="P130" s="4">
        <v>35621</v>
      </c>
      <c r="Q130" s="5">
        <f>P130/K130*B127</f>
        <v>-11.411409487349932</v>
      </c>
    </row>
    <row r="132" spans="1:17" x14ac:dyDescent="0.25">
      <c r="A132" t="s">
        <v>8</v>
      </c>
      <c r="B132">
        <f>VLOOKUP($A132,$A$5:$H$32,2,FALSE)</f>
        <v>170</v>
      </c>
      <c r="C132">
        <f>VLOOKUP($A132,$A$5:$H$32,3,FALSE)</f>
        <v>42</v>
      </c>
      <c r="D132">
        <f>VLOOKUP($A132,$A$5:$H$32,4,FALSE)</f>
        <v>0</v>
      </c>
      <c r="E132">
        <f>VLOOKUP($A132,$A$5:$H$32,5,FALSE)</f>
        <v>0</v>
      </c>
      <c r="G132">
        <f>VLOOKUP($A132,$A$5:$H$32,7,FALSE)</f>
        <v>20</v>
      </c>
      <c r="H132">
        <f>VLOOKUP($A132,$A$5:$H$32,8,FALSE)</f>
        <v>0</v>
      </c>
    </row>
    <row r="133" spans="1:17" x14ac:dyDescent="0.25">
      <c r="A133" s="2" t="s">
        <v>45</v>
      </c>
      <c r="C133" s="4" t="s">
        <v>18</v>
      </c>
      <c r="G133" s="4" t="s">
        <v>35</v>
      </c>
    </row>
    <row r="134" spans="1:17" x14ac:dyDescent="0.25">
      <c r="A134" s="2" t="s">
        <v>10</v>
      </c>
      <c r="C134" s="4">
        <f>IF(NOT(ISBLANK(C133)),VLOOKUP(C133,$S$36:$U$65,3,FALSE),0)</f>
        <v>22.95</v>
      </c>
      <c r="D134" s="4">
        <f>IF(NOT(ISBLANK(D133)),VLOOKUP(D133,$S$36:$U$65,3,FALSE),0)</f>
        <v>0</v>
      </c>
      <c r="E134" s="4">
        <f>IF(NOT(ISBLANK(E133)),VLOOKUP(E133,$S$36:$U$65,3,FALSE),0)</f>
        <v>0</v>
      </c>
      <c r="G134" s="4">
        <f>IF(NOT(ISBLANK(G133)),VLOOKUP(G133,$S$36:$U$65,2,FALSE),0)</f>
        <v>113.23</v>
      </c>
      <c r="H134" s="4">
        <f>IF(NOT(ISBLANK(H133)),VLOOKUP(H133,$S$36:$U$65,2,FALSE),0)</f>
        <v>0</v>
      </c>
      <c r="I134" s="1"/>
    </row>
    <row r="135" spans="1:17" x14ac:dyDescent="0.25">
      <c r="A135" s="2" t="s">
        <v>9</v>
      </c>
      <c r="C135" s="6">
        <f>C134*C132</f>
        <v>963.9</v>
      </c>
      <c r="D135" s="6">
        <f t="shared" ref="D135:E135" si="3">D134*D132</f>
        <v>0</v>
      </c>
      <c r="E135" s="6">
        <f t="shared" si="3"/>
        <v>0</v>
      </c>
      <c r="F135" s="1"/>
      <c r="G135" s="6">
        <f>G132*G134</f>
        <v>2264.6</v>
      </c>
      <c r="H135" s="6">
        <f>H132*H134</f>
        <v>0</v>
      </c>
      <c r="J135" s="1" t="str">
        <f>A132</f>
        <v>Food Factory</v>
      </c>
      <c r="K135" s="4">
        <f>SUM(G135:H135)-SUM(C135:E135)</f>
        <v>1300.6999999999998</v>
      </c>
      <c r="L135" s="4">
        <f>SUM(G135:H135)/B132</f>
        <v>13.321176470588235</v>
      </c>
      <c r="M135" s="4">
        <f>K135/B132</f>
        <v>7.6511764705882346</v>
      </c>
      <c r="N135" s="3">
        <f>K135/SUM(G135:H135)</f>
        <v>0.57436191821955307</v>
      </c>
      <c r="O135" s="1"/>
      <c r="P135" s="4">
        <v>71504</v>
      </c>
      <c r="Q135" s="5">
        <f>P135/K135*B132</f>
        <v>9345.4908895210283</v>
      </c>
    </row>
    <row r="137" spans="1:17" x14ac:dyDescent="0.25">
      <c r="A137" t="s">
        <v>67</v>
      </c>
      <c r="B137">
        <f>VLOOKUP($A137,$A$5:$H$32,2,FALSE)</f>
        <v>100</v>
      </c>
      <c r="C137">
        <f>VLOOKUP($A137,$A$5:$H$32,3,FALSE)</f>
        <v>30</v>
      </c>
      <c r="D137">
        <f>VLOOKUP($A137,$A$5:$H$32,4,FALSE)</f>
        <v>10</v>
      </c>
      <c r="E137">
        <f>VLOOKUP($A137,$A$5:$H$32,5,FALSE)</f>
        <v>0</v>
      </c>
      <c r="G137">
        <f>VLOOKUP($A137,$A$5:$H$32,7,FALSE)</f>
        <v>6</v>
      </c>
      <c r="H137">
        <f>VLOOKUP($A137,$A$5:$H$32,8,FALSE)</f>
        <v>0</v>
      </c>
    </row>
    <row r="138" spans="1:17" x14ac:dyDescent="0.25">
      <c r="A138" s="2" t="s">
        <v>45</v>
      </c>
      <c r="C138" s="4" t="s">
        <v>18</v>
      </c>
      <c r="D138" s="4" t="s">
        <v>15</v>
      </c>
      <c r="G138" s="4" t="s">
        <v>33</v>
      </c>
    </row>
    <row r="139" spans="1:17" x14ac:dyDescent="0.25">
      <c r="A139" s="2" t="s">
        <v>10</v>
      </c>
      <c r="C139" s="4">
        <f>IF(NOT(ISBLANK(C138)),VLOOKUP(C138,$S$36:$U$65,3,FALSE),0)</f>
        <v>22.95</v>
      </c>
      <c r="D139" s="4">
        <f>IF(NOT(ISBLANK(D138)),VLOOKUP(D138,$S$36:$U$65,3,FALSE),0)</f>
        <v>5.2</v>
      </c>
      <c r="E139" s="4">
        <f>IF(NOT(ISBLANK(E138)),VLOOKUP(E138,$S$36:$U$65,3,FALSE),0)</f>
        <v>0</v>
      </c>
      <c r="G139" s="4">
        <f>IF(NOT(ISBLANK(G138)),VLOOKUP(G138,$S$36:$U$65,2,FALSE),0)</f>
        <v>235.89</v>
      </c>
      <c r="H139" s="4">
        <f>IF(NOT(ISBLANK(H138)),VLOOKUP(H138,$S$36:$U$65,2,FALSE),0)</f>
        <v>0</v>
      </c>
      <c r="I139" s="1"/>
    </row>
    <row r="140" spans="1:17" x14ac:dyDescent="0.25">
      <c r="A140" s="2" t="s">
        <v>9</v>
      </c>
      <c r="C140" s="6">
        <f>C139*C137</f>
        <v>688.5</v>
      </c>
      <c r="D140" s="6">
        <f>D139*D137</f>
        <v>52</v>
      </c>
      <c r="E140" s="6">
        <f>E139*E137</f>
        <v>0</v>
      </c>
      <c r="F140" s="1"/>
      <c r="G140" s="6">
        <f>G137*G139</f>
        <v>1415.34</v>
      </c>
      <c r="H140" s="6">
        <f>H137*H139</f>
        <v>0</v>
      </c>
      <c r="J140" s="1" t="str">
        <f>A137</f>
        <v>Distillery</v>
      </c>
      <c r="K140" s="4">
        <f>SUM(G140:H140)-SUM(C140:E140)</f>
        <v>674.83999999999992</v>
      </c>
      <c r="L140" s="4">
        <f>SUM(G140:H140)/B137</f>
        <v>14.1534</v>
      </c>
      <c r="M140" s="4">
        <f>K140/B137</f>
        <v>6.7483999999999993</v>
      </c>
      <c r="N140" s="3">
        <f>K140/SUM(G140:H140)</f>
        <v>0.47680416013113452</v>
      </c>
      <c r="O140" s="1"/>
      <c r="P140" s="4">
        <v>37951</v>
      </c>
      <c r="Q140" s="5">
        <f>P140/K140*B137</f>
        <v>5623.7033963606191</v>
      </c>
    </row>
    <row r="142" spans="1:17" x14ac:dyDescent="0.25">
      <c r="A142" t="s">
        <v>69</v>
      </c>
      <c r="B142">
        <f>VLOOKUP($A142,$A$5:$H$32,2,FALSE)</f>
        <v>50</v>
      </c>
      <c r="C142">
        <f>VLOOKUP($A142,$A$5:$H$32,3,FALSE)</f>
        <v>0.5</v>
      </c>
      <c r="D142">
        <f>VLOOKUP($A142,$A$5:$H$32,4,FALSE)</f>
        <v>0.5</v>
      </c>
      <c r="E142">
        <f>VLOOKUP($A142,$A$5:$H$32,5,FALSE)</f>
        <v>1</v>
      </c>
      <c r="G142">
        <f>VLOOKUP($A142,$A$5:$H$32,7,FALSE)</f>
        <v>0.5</v>
      </c>
      <c r="H142">
        <f>VLOOKUP($A142,$A$5:$H$32,8,FALSE)</f>
        <v>0</v>
      </c>
    </row>
    <row r="143" spans="1:17" x14ac:dyDescent="0.25">
      <c r="A143" s="2" t="s">
        <v>45</v>
      </c>
      <c r="C143" s="4" t="s">
        <v>16</v>
      </c>
      <c r="D143" s="4" t="s">
        <v>22</v>
      </c>
      <c r="E143" s="4" t="s">
        <v>23</v>
      </c>
      <c r="G143" s="4" t="s">
        <v>24</v>
      </c>
    </row>
    <row r="144" spans="1:17" x14ac:dyDescent="0.25">
      <c r="A144" s="2" t="s">
        <v>10</v>
      </c>
      <c r="C144" s="4">
        <f>IF(NOT(ISBLANK(C143)),VLOOKUP(C143,$S$36:$U$65,3,FALSE),0)</f>
        <v>17.61</v>
      </c>
      <c r="D144" s="4">
        <f>IF(NOT(ISBLANK(D143)),VLOOKUP(D143,$S$36:$U$65,3,FALSE),0)</f>
        <v>17.16</v>
      </c>
      <c r="E144" s="4">
        <f>IF(NOT(ISBLANK(E143)),VLOOKUP(E143,$S$36:$U$65,3,FALSE),0)</f>
        <v>65.81</v>
      </c>
      <c r="G144" s="4">
        <f>IF(NOT(ISBLANK(G143)),VLOOKUP(G143,$S$36:$U$65,2,FALSE),0)</f>
        <v>2063.04</v>
      </c>
      <c r="H144" s="4">
        <f>IF(NOT(ISBLANK(H143)),VLOOKUP(H143,$S$36:$U$65,2,FALSE),0)</f>
        <v>0</v>
      </c>
      <c r="I144" s="1"/>
    </row>
    <row r="145" spans="1:17" x14ac:dyDescent="0.25">
      <c r="A145" s="2" t="s">
        <v>9</v>
      </c>
      <c r="C145" s="6">
        <f>C144*C142</f>
        <v>8.8049999999999997</v>
      </c>
      <c r="D145" s="6">
        <f>D144*D142</f>
        <v>8.58</v>
      </c>
      <c r="E145" s="6">
        <f>E144*E142</f>
        <v>65.81</v>
      </c>
      <c r="F145" s="1"/>
      <c r="G145" s="6">
        <f>G142*G144</f>
        <v>1031.52</v>
      </c>
      <c r="H145" s="6">
        <f>H142*H144</f>
        <v>0</v>
      </c>
      <c r="J145" s="1" t="str">
        <f>A142</f>
        <v>Chemical Plant</v>
      </c>
      <c r="K145" s="4">
        <f>SUM(G145:H145)-SUM(C145:E145)</f>
        <v>948.32500000000005</v>
      </c>
      <c r="L145" s="4">
        <f>SUM(G145:H145)/B142</f>
        <v>20.630399999999998</v>
      </c>
      <c r="M145" s="4">
        <f>K145/B142</f>
        <v>18.9665</v>
      </c>
      <c r="N145" s="3">
        <f>K145/SUM(G145:H145)</f>
        <v>0.91934717698154189</v>
      </c>
      <c r="O145" s="1"/>
      <c r="P145" s="4">
        <v>0</v>
      </c>
      <c r="Q145" s="5">
        <f>P145/K145*B142</f>
        <v>0</v>
      </c>
    </row>
    <row r="147" spans="1:17" x14ac:dyDescent="0.25">
      <c r="A147" t="s">
        <v>70</v>
      </c>
      <c r="B147">
        <f>VLOOKUP($A147,$A$5:$H$32,2,FALSE)</f>
        <v>100</v>
      </c>
      <c r="C147">
        <f>VLOOKUP($A147,$A$5:$H$32,3,FALSE)</f>
        <v>10</v>
      </c>
      <c r="D147">
        <f>VLOOKUP($A147,$A$5:$H$32,4,FALSE)</f>
        <v>35</v>
      </c>
      <c r="E147">
        <f>VLOOKUP($A147,$A$5:$H$32,5,FALSE)</f>
        <v>13</v>
      </c>
      <c r="G147">
        <f>VLOOKUP($A147,$A$5:$H$32,7,FALSE)</f>
        <v>15</v>
      </c>
      <c r="H147">
        <f>VLOOKUP($A147,$A$5:$H$32,8,FALSE)</f>
        <v>0</v>
      </c>
    </row>
    <row r="148" spans="1:17" x14ac:dyDescent="0.25">
      <c r="A148" s="2" t="s">
        <v>45</v>
      </c>
      <c r="C148" s="4" t="s">
        <v>24</v>
      </c>
      <c r="D148" s="4" t="s">
        <v>23</v>
      </c>
      <c r="E148" s="4" t="s">
        <v>15</v>
      </c>
      <c r="G148" s="4" t="s">
        <v>43</v>
      </c>
    </row>
    <row r="149" spans="1:17" x14ac:dyDescent="0.25">
      <c r="A149" s="2" t="s">
        <v>10</v>
      </c>
      <c r="C149" s="4">
        <f>IF(NOT(ISBLANK(C148)),VLOOKUP(C148,$S$36:$U$65,3,FALSE),0)</f>
        <v>2290.73</v>
      </c>
      <c r="D149" s="4">
        <f>IF(NOT(ISBLANK(D148)),VLOOKUP(D148,$S$36:$U$65,3,FALSE),0)</f>
        <v>65.81</v>
      </c>
      <c r="E149" s="4">
        <f>IF(NOT(ISBLANK(E148)),VLOOKUP(E148,$S$36:$U$65,3,FALSE),0)</f>
        <v>5.2</v>
      </c>
      <c r="G149" s="4">
        <f>IF(NOT(ISBLANK(G148)),VLOOKUP(G148,$S$36:$U$65,2,FALSE),0)</f>
        <v>884.16</v>
      </c>
      <c r="H149" s="4">
        <f>IF(NOT(ISBLANK(H148)),VLOOKUP(H148,$S$36:$U$65,2,FALSE),0)</f>
        <v>0</v>
      </c>
      <c r="I149" s="1"/>
    </row>
    <row r="150" spans="1:17" x14ac:dyDescent="0.25">
      <c r="A150" s="2" t="s">
        <v>9</v>
      </c>
      <c r="C150" s="6">
        <f>C149*C147</f>
        <v>22907.3</v>
      </c>
      <c r="D150" s="6">
        <f>D149*D147</f>
        <v>2303.35</v>
      </c>
      <c r="E150" s="6">
        <f>E149*E147</f>
        <v>67.600000000000009</v>
      </c>
      <c r="F150" s="1"/>
      <c r="G150" s="6">
        <f>G147*G149</f>
        <v>13262.4</v>
      </c>
      <c r="H150" s="6">
        <f>H147*H149</f>
        <v>0</v>
      </c>
      <c r="J150" s="1" t="str">
        <f>A147</f>
        <v>Plastics Factory</v>
      </c>
      <c r="K150" s="4">
        <f>SUM(G150:H150)-SUM(C150:E150)</f>
        <v>-12015.849999999997</v>
      </c>
      <c r="L150" s="4">
        <f>SUM(G150:H150)/B147</f>
        <v>132.624</v>
      </c>
      <c r="M150" s="4">
        <f>K150/B147</f>
        <v>-120.15849999999996</v>
      </c>
      <c r="N150" s="3">
        <f>K150/SUM(G150:H150)</f>
        <v>-0.90600871637109404</v>
      </c>
      <c r="O150" s="1"/>
      <c r="P150" s="4">
        <v>33226</v>
      </c>
      <c r="Q150" s="5">
        <f>P150/K150*B147</f>
        <v>-276.51809901088984</v>
      </c>
    </row>
    <row r="152" spans="1:17" x14ac:dyDescent="0.25">
      <c r="A152" t="s">
        <v>32</v>
      </c>
      <c r="B152">
        <f>VLOOKUP($A152,$A$5:$H$32,2,FALSE)</f>
        <v>100</v>
      </c>
      <c r="C152">
        <f>VLOOKUP($A152,$A$5:$H$32,3,FALSE)</f>
        <v>20</v>
      </c>
      <c r="D152">
        <f>VLOOKUP($A152,$A$5:$H$32,4,FALSE)</f>
        <v>0.5</v>
      </c>
      <c r="E152">
        <f>VLOOKUP($A152,$A$5:$H$32,5,FALSE)</f>
        <v>10</v>
      </c>
      <c r="G152">
        <f>VLOOKUP($A152,$A$5:$H$32,7,FALSE)</f>
        <v>5</v>
      </c>
      <c r="H152">
        <f>VLOOKUP($A152,$A$5:$H$32,8,FALSE)</f>
        <v>0</v>
      </c>
    </row>
    <row r="153" spans="1:17" x14ac:dyDescent="0.25">
      <c r="A153" s="2" t="s">
        <v>45</v>
      </c>
      <c r="C153" s="4" t="s">
        <v>18</v>
      </c>
      <c r="D153" s="4" t="s">
        <v>24</v>
      </c>
      <c r="E153" s="4" t="s">
        <v>15</v>
      </c>
      <c r="G153" s="4" t="s">
        <v>32</v>
      </c>
    </row>
    <row r="154" spans="1:17" x14ac:dyDescent="0.25">
      <c r="A154" s="2" t="s">
        <v>10</v>
      </c>
      <c r="C154" s="4">
        <f>IF(NOT(ISBLANK(C153)),VLOOKUP(C153,$S$36:$U$65,3,FALSE),0)</f>
        <v>22.95</v>
      </c>
      <c r="D154" s="4">
        <f>IF(NOT(ISBLANK(D153)),VLOOKUP(D153,$S$36:$U$65,3,FALSE),0)</f>
        <v>2290.73</v>
      </c>
      <c r="E154" s="4">
        <f>IF(NOT(ISBLANK(E153)),VLOOKUP(E153,$S$36:$U$65,3,FALSE),0)</f>
        <v>5.2</v>
      </c>
      <c r="G154" s="4">
        <f>IF(NOT(ISBLANK(G153)),VLOOKUP(G153,$S$36:$U$65,2,FALSE),0)</f>
        <v>336.29</v>
      </c>
      <c r="H154" s="4">
        <f>IF(NOT(ISBLANK(H153)),VLOOKUP(H153,$S$36:$U$65,2,FALSE),0)</f>
        <v>0</v>
      </c>
      <c r="I154" s="1"/>
    </row>
    <row r="155" spans="1:17" x14ac:dyDescent="0.25">
      <c r="A155" s="2" t="s">
        <v>9</v>
      </c>
      <c r="C155" s="6">
        <f>C154*C152</f>
        <v>459</v>
      </c>
      <c r="D155" s="6">
        <f>D154*D152</f>
        <v>1145.365</v>
      </c>
      <c r="E155" s="6">
        <f>E154*E152</f>
        <v>52</v>
      </c>
      <c r="F155" s="1"/>
      <c r="G155" s="6">
        <f>G152*G154</f>
        <v>1681.45</v>
      </c>
      <c r="H155" s="6">
        <f>H152*H154</f>
        <v>0</v>
      </c>
      <c r="I155" s="1"/>
      <c r="J155" s="1" t="str">
        <f>A152</f>
        <v>Fabric</v>
      </c>
      <c r="K155" s="4">
        <f>SUM(G155:H155)-SUM(C155:E155)</f>
        <v>25.085000000000036</v>
      </c>
      <c r="L155" s="4">
        <f>SUM(G155:H155)/B152</f>
        <v>16.814499999999999</v>
      </c>
      <c r="M155" s="4">
        <f>K155/B152</f>
        <v>0.25085000000000035</v>
      </c>
      <c r="N155" s="3">
        <f>K155/SUM(G155:H155)</f>
        <v>1.4918671384816697E-2</v>
      </c>
      <c r="O155" s="1"/>
      <c r="P155" s="4">
        <v>35900</v>
      </c>
      <c r="Q155" s="5">
        <f>P155/K155*B152</f>
        <v>143113.41439107017</v>
      </c>
    </row>
    <row r="156" spans="1:17" x14ac:dyDescent="0.25">
      <c r="A156" s="2"/>
      <c r="C156" s="6"/>
      <c r="D156" s="6"/>
      <c r="E156" s="6"/>
      <c r="F156" s="1"/>
      <c r="G156" s="6"/>
      <c r="H156" s="6"/>
      <c r="J156" s="1"/>
      <c r="O156" s="1"/>
    </row>
    <row r="157" spans="1:17" x14ac:dyDescent="0.25">
      <c r="A157" t="s">
        <v>71</v>
      </c>
      <c r="B157">
        <f>VLOOKUP($A157,$A$5:$H$32,2,FALSE)</f>
        <v>150</v>
      </c>
      <c r="C157">
        <f>VLOOKUP($A157,$A$5:$H$32,3,FALSE)</f>
        <v>22</v>
      </c>
      <c r="D157">
        <f>VLOOKUP($A157,$A$5:$H$32,4,FALSE)</f>
        <v>0</v>
      </c>
      <c r="E157">
        <f>VLOOKUP($A157,$A$5:$H$32,5,FALSE)</f>
        <v>0</v>
      </c>
      <c r="G157">
        <f>VLOOKUP($A157,$A$5:$H$32,7,FALSE)</f>
        <v>15</v>
      </c>
      <c r="H157">
        <f>VLOOKUP($A157,$A$5:$H$32,8,FALSE)</f>
        <v>0</v>
      </c>
    </row>
    <row r="158" spans="1:17" x14ac:dyDescent="0.25">
      <c r="A158" s="2" t="s">
        <v>45</v>
      </c>
      <c r="C158" s="4" t="s">
        <v>19</v>
      </c>
      <c r="G158" s="4" t="s">
        <v>42</v>
      </c>
    </row>
    <row r="159" spans="1:17" x14ac:dyDescent="0.25">
      <c r="A159" s="2" t="s">
        <v>10</v>
      </c>
      <c r="C159" s="4">
        <f>IF(NOT(ISBLANK(C158)),VLOOKUP(C158,$S$36:$U$65,3,FALSE),0)</f>
        <v>1275.82</v>
      </c>
      <c r="D159" s="4">
        <f>IF(NOT(ISBLANK(D158)),VLOOKUP(D158,$S$36:$U$65,3,FALSE),0)</f>
        <v>0</v>
      </c>
      <c r="E159" s="4">
        <f>IF(NOT(ISBLANK(E158)),VLOOKUP(E158,$S$36:$U$65,3,FALSE),0)</f>
        <v>0</v>
      </c>
      <c r="G159" s="4">
        <f>IF(NOT(ISBLANK(G158)),VLOOKUP(G158,$S$36:$U$65,2,FALSE),0)</f>
        <v>1797.31</v>
      </c>
      <c r="H159" s="4">
        <f>IF(NOT(ISBLANK(H158)),VLOOKUP(H158,$S$36:$U$65,2,FALSE),0)</f>
        <v>0</v>
      </c>
      <c r="I159" s="1"/>
    </row>
    <row r="160" spans="1:17" x14ac:dyDescent="0.25">
      <c r="A160" s="2" t="s">
        <v>9</v>
      </c>
      <c r="C160" s="6">
        <f>C159*C157</f>
        <v>28068.039999999997</v>
      </c>
      <c r="D160" s="6">
        <f>D159*D157</f>
        <v>0</v>
      </c>
      <c r="E160" s="6">
        <f>E159*E157</f>
        <v>0</v>
      </c>
      <c r="F160" s="1"/>
      <c r="G160" s="6">
        <f>G157*G159</f>
        <v>26959.649999999998</v>
      </c>
      <c r="H160" s="6">
        <f>H157*H159</f>
        <v>0</v>
      </c>
      <c r="J160" s="1" t="str">
        <f>A157</f>
        <v>Mech Component</v>
      </c>
      <c r="K160" s="4">
        <f>SUM(G160:H160)-SUM(C160:E160)</f>
        <v>-1108.3899999999994</v>
      </c>
      <c r="L160" s="4">
        <f>SUM(G160:H160)/B157</f>
        <v>179.73099999999999</v>
      </c>
      <c r="M160" s="4">
        <f>K160/B157</f>
        <v>-7.3892666666666624</v>
      </c>
      <c r="N160" s="3">
        <f>K160/SUM(G160:H160)</f>
        <v>-4.1112922460046754E-2</v>
      </c>
      <c r="O160" s="1"/>
      <c r="P160" s="4">
        <v>0</v>
      </c>
      <c r="Q160" s="5">
        <f>P160/K160*B157</f>
        <v>0</v>
      </c>
    </row>
    <row r="162" spans="1:17" x14ac:dyDescent="0.25">
      <c r="A162" t="s">
        <v>72</v>
      </c>
      <c r="B162">
        <f>VLOOKUP($A162,$A$5:$H$32,2,FALSE)</f>
        <v>150</v>
      </c>
      <c r="C162">
        <f>VLOOKUP($A162,$A$5:$H$32,3,FALSE)</f>
        <v>1.5</v>
      </c>
      <c r="D162">
        <f>VLOOKUP($A162,$A$5:$H$32,4,FALSE)</f>
        <v>1.5</v>
      </c>
      <c r="E162">
        <f>VLOOKUP($A162,$A$5:$H$32,5,FALSE)</f>
        <v>1.2</v>
      </c>
      <c r="G162">
        <f>VLOOKUP($A162,$A$5:$H$32,7,FALSE)</f>
        <v>3.8</v>
      </c>
      <c r="H162">
        <f>VLOOKUP($A162,$A$5:$H$32,8,FALSE)</f>
        <v>0</v>
      </c>
    </row>
    <row r="163" spans="1:17" x14ac:dyDescent="0.25">
      <c r="A163" s="2" t="s">
        <v>45</v>
      </c>
      <c r="C163" s="4" t="s">
        <v>43</v>
      </c>
      <c r="D163" s="4" t="s">
        <v>19</v>
      </c>
      <c r="E163" s="4" t="s">
        <v>24</v>
      </c>
      <c r="G163" s="4" t="s">
        <v>41</v>
      </c>
    </row>
    <row r="164" spans="1:17" x14ac:dyDescent="0.25">
      <c r="A164" s="2" t="s">
        <v>10</v>
      </c>
      <c r="C164" s="4">
        <f>IF(NOT(ISBLANK(C163)),VLOOKUP(C163,$S$36:$U$65,3,FALSE),0)</f>
        <v>987.76</v>
      </c>
      <c r="D164" s="4">
        <f>IF(NOT(ISBLANK(D163)),VLOOKUP(D163,$S$36:$U$65,3,FALSE),0)</f>
        <v>1275.82</v>
      </c>
      <c r="E164" s="4">
        <f>IF(NOT(ISBLANK(E163)),VLOOKUP(E163,$S$36:$U$65,3,FALSE),0)</f>
        <v>2290.73</v>
      </c>
      <c r="G164" s="4">
        <f>IF(NOT(ISBLANK(G163)),VLOOKUP(G163,$S$36:$U$65,2,FALSE),0)</f>
        <v>1682.17</v>
      </c>
      <c r="H164" s="4">
        <f>IF(NOT(ISBLANK(H163)),VLOOKUP(H163,$S$36:$U$65,2,FALSE),0)</f>
        <v>0</v>
      </c>
      <c r="I164" s="1"/>
    </row>
    <row r="165" spans="1:17" x14ac:dyDescent="0.25">
      <c r="A165" s="2" t="s">
        <v>9</v>
      </c>
      <c r="C165" s="6">
        <f>C164*C162</f>
        <v>1481.6399999999999</v>
      </c>
      <c r="D165" s="6">
        <f>D164*D162</f>
        <v>1913.73</v>
      </c>
      <c r="E165" s="6">
        <f>E164*E162</f>
        <v>2748.8759999999997</v>
      </c>
      <c r="F165" s="1"/>
      <c r="G165" s="6">
        <f>G162*G164</f>
        <v>6392.2460000000001</v>
      </c>
      <c r="H165" s="6">
        <f>H162*H164</f>
        <v>0</v>
      </c>
      <c r="J165" s="1" t="str">
        <f>A162</f>
        <v>Elect Comp</v>
      </c>
      <c r="K165" s="4">
        <f>SUM(G165:H165)-SUM(C165:E165)</f>
        <v>248.00000000000091</v>
      </c>
      <c r="L165" s="4">
        <f>SUM(G165:H165)/B162</f>
        <v>42.614973333333332</v>
      </c>
      <c r="M165" s="4">
        <f>K165/B162</f>
        <v>1.6533333333333393</v>
      </c>
      <c r="N165" s="3">
        <f>K165/SUM(G165:H165)</f>
        <v>3.8797004996366048E-2</v>
      </c>
      <c r="O165" s="1"/>
      <c r="P165" s="4">
        <v>0</v>
      </c>
      <c r="Q165" s="5">
        <f>P165/K165*B162</f>
        <v>0</v>
      </c>
    </row>
    <row r="167" spans="1:17" x14ac:dyDescent="0.25">
      <c r="A167" t="s">
        <v>73</v>
      </c>
      <c r="B167">
        <f>VLOOKUP($A167,$A$5:$H$32,2,FALSE)</f>
        <v>80</v>
      </c>
      <c r="C167">
        <f>VLOOKUP($A167,$A$5:$H$32,3,FALSE)</f>
        <v>2.4</v>
      </c>
      <c r="D167">
        <f>VLOOKUP($A167,$A$5:$H$32,4,FALSE)</f>
        <v>0</v>
      </c>
      <c r="E167">
        <f>VLOOKUP($A167,$A$5:$H$32,5,FALSE)</f>
        <v>0</v>
      </c>
      <c r="G167">
        <f>VLOOKUP($A167,$A$5:$H$32,7,FALSE)</f>
        <v>0.8</v>
      </c>
      <c r="H167">
        <f>VLOOKUP($A167,$A$5:$H$32,8,FALSE)</f>
        <v>0</v>
      </c>
    </row>
    <row r="168" spans="1:17" x14ac:dyDescent="0.25">
      <c r="A168" s="2" t="s">
        <v>45</v>
      </c>
      <c r="C168" s="4" t="s">
        <v>32</v>
      </c>
      <c r="G168" s="4" t="s">
        <v>36</v>
      </c>
    </row>
    <row r="169" spans="1:17" x14ac:dyDescent="0.25">
      <c r="A169" s="2" t="s">
        <v>10</v>
      </c>
      <c r="C169" s="4">
        <f>IF(NOT(ISBLANK(C168)),VLOOKUP(C168,$S$36:$U$65,3,FALSE),0)</f>
        <v>382.22</v>
      </c>
      <c r="D169" s="4">
        <f>IF(NOT(ISBLANK(D168)),VLOOKUP(D168,$S$36:$U$65,3,FALSE),0)</f>
        <v>0</v>
      </c>
      <c r="E169" s="4">
        <f>IF(NOT(ISBLANK(E168)),VLOOKUP(E168,$S$36:$U$65,3,FALSE),0)</f>
        <v>0</v>
      </c>
      <c r="G169" s="4">
        <f>IF(NOT(ISBLANK(G168)),VLOOKUP(G168,$S$36:$U$65,2,FALSE),0)</f>
        <v>1451.57</v>
      </c>
      <c r="H169" s="4">
        <f>IF(NOT(ISBLANK(H168)),VLOOKUP(H168,$S$36:$U$65,2,FALSE),0)</f>
        <v>0</v>
      </c>
      <c r="I169" s="1"/>
    </row>
    <row r="170" spans="1:17" x14ac:dyDescent="0.25">
      <c r="A170" s="2" t="s">
        <v>9</v>
      </c>
      <c r="C170" s="6">
        <f>C169*C167</f>
        <v>917.32800000000009</v>
      </c>
      <c r="D170" s="6">
        <f>D169*D167</f>
        <v>0</v>
      </c>
      <c r="E170" s="6">
        <f>E169*E167</f>
        <v>0</v>
      </c>
      <c r="F170" s="1"/>
      <c r="G170" s="6">
        <f>G167*G169</f>
        <v>1161.2560000000001</v>
      </c>
      <c r="H170" s="6">
        <f>H167*H169</f>
        <v>0</v>
      </c>
      <c r="J170" s="1" t="str">
        <f>A167</f>
        <v>Clothing Factory</v>
      </c>
      <c r="K170" s="4">
        <f>SUM(G170:H170)-SUM(C170:E170)</f>
        <v>243.928</v>
      </c>
      <c r="L170" s="4">
        <f>SUM(G170:H170)/B167</f>
        <v>14.515700000000001</v>
      </c>
      <c r="M170" s="4">
        <f>K170/B167</f>
        <v>3.0491000000000001</v>
      </c>
      <c r="N170" s="3">
        <f>K170/SUM(G170:H170)</f>
        <v>0.21005531941277375</v>
      </c>
      <c r="O170" s="1"/>
      <c r="P170" s="4">
        <v>49231</v>
      </c>
      <c r="Q170" s="5">
        <f>P170/K170*B167</f>
        <v>16146.075891246599</v>
      </c>
    </row>
    <row r="172" spans="1:17" x14ac:dyDescent="0.25">
      <c r="A172" t="s">
        <v>74</v>
      </c>
      <c r="B172">
        <f>VLOOKUP($A172,$A$5:$H$32,2,FALSE)</f>
        <v>150</v>
      </c>
      <c r="C172">
        <f>VLOOKUP($A172,$A$5:$H$32,3,FALSE)</f>
        <v>1.5</v>
      </c>
      <c r="D172">
        <f>VLOOKUP($A172,$A$5:$H$32,4,FALSE)</f>
        <v>2.2999999999999998</v>
      </c>
      <c r="E172">
        <f>VLOOKUP($A172,$A$5:$H$32,5,FALSE)</f>
        <v>1.5</v>
      </c>
      <c r="G172">
        <f>VLOOKUP($A172,$A$5:$H$32,7,FALSE)</f>
        <v>4.5</v>
      </c>
      <c r="H172">
        <f>VLOOKUP($A172,$A$5:$H$32,8,FALSE)</f>
        <v>0</v>
      </c>
    </row>
    <row r="173" spans="1:17" x14ac:dyDescent="0.25">
      <c r="A173" s="2" t="s">
        <v>45</v>
      </c>
      <c r="C173" s="4" t="s">
        <v>41</v>
      </c>
      <c r="D173" s="4" t="s">
        <v>43</v>
      </c>
      <c r="E173" s="4" t="s">
        <v>42</v>
      </c>
      <c r="G173" s="4" t="s">
        <v>44</v>
      </c>
    </row>
    <row r="174" spans="1:17" x14ac:dyDescent="0.25">
      <c r="A174" s="2" t="s">
        <v>10</v>
      </c>
      <c r="C174" s="4">
        <f>IF(NOT(ISBLANK(C173)),VLOOKUP(C173,$S$36:$U$65,3,FALSE),0)</f>
        <v>1869.77</v>
      </c>
      <c r="D174" s="4">
        <f>IF(NOT(ISBLANK(D173)),VLOOKUP(D173,$S$36:$U$65,3,FALSE),0)</f>
        <v>987.76</v>
      </c>
      <c r="E174" s="4">
        <f>IF(NOT(ISBLANK(E173)),VLOOKUP(E173,$S$36:$U$65,3,FALSE),0)</f>
        <v>1997.02</v>
      </c>
      <c r="G174" s="4">
        <f>IF(NOT(ISBLANK(G173)),VLOOKUP(G173,$S$36:$U$65,2,FALSE),0)</f>
        <v>1871.4</v>
      </c>
      <c r="H174" s="4">
        <f>IF(NOT(ISBLANK(H173)),VLOOKUP(H173,$S$36:$U$65,2,FALSE),0)</f>
        <v>0</v>
      </c>
      <c r="I174" s="1"/>
    </row>
    <row r="175" spans="1:17" x14ac:dyDescent="0.25">
      <c r="A175" s="2" t="s">
        <v>9</v>
      </c>
      <c r="C175" s="6">
        <f>C174*C172</f>
        <v>2804.6549999999997</v>
      </c>
      <c r="D175" s="6">
        <f>D174*D172</f>
        <v>2271.848</v>
      </c>
      <c r="E175" s="6">
        <f>E174*E172</f>
        <v>2995.5299999999997</v>
      </c>
      <c r="F175" s="1"/>
      <c r="G175" s="6">
        <f>G172*G174</f>
        <v>8421.3000000000011</v>
      </c>
      <c r="H175" s="6">
        <f>H172*H174</f>
        <v>0</v>
      </c>
      <c r="J175" s="1" t="str">
        <f>A172</f>
        <v>Elect Assembly</v>
      </c>
      <c r="K175" s="4">
        <f>SUM(G175:H175)-SUM(C175:E175)</f>
        <v>349.26700000000164</v>
      </c>
      <c r="L175" s="4">
        <f>SUM(G175:H175)/B172</f>
        <v>56.14200000000001</v>
      </c>
      <c r="M175" s="4">
        <f>K175/B172</f>
        <v>2.3284466666666774</v>
      </c>
      <c r="N175" s="3">
        <f>K175/SUM(G175:H175)</f>
        <v>4.1474237944260577E-2</v>
      </c>
      <c r="O175" s="1"/>
      <c r="P175" s="4">
        <v>0</v>
      </c>
      <c r="Q175" s="5">
        <f>P175/K175*B172</f>
        <v>0</v>
      </c>
    </row>
    <row r="176" spans="1:17" x14ac:dyDescent="0.25">
      <c r="C176" s="7"/>
      <c r="D176" s="7"/>
      <c r="E176" s="7"/>
      <c r="G176" s="7"/>
      <c r="H176" s="7"/>
    </row>
    <row r="177" spans="1:17" x14ac:dyDescent="0.25">
      <c r="A177" t="s">
        <v>77</v>
      </c>
      <c r="B177">
        <f>VLOOKUP($A177,$A$5:$H$33,2,FALSE)</f>
        <v>65</v>
      </c>
      <c r="C177">
        <f>VLOOKUP($A177,$A$5:$H$33,3,FALSE)</f>
        <v>9.75</v>
      </c>
      <c r="D177">
        <f>VLOOKUP($A177,$A$5:$H$33,4,FALSE)</f>
        <v>65</v>
      </c>
      <c r="E177">
        <f>VLOOKUP($A177,$A$5:$H$33,5,FALSE)</f>
        <v>0</v>
      </c>
      <c r="G177">
        <f>VLOOKUP($A177,$A$5:$H$33,7,FALSE)</f>
        <v>71.5</v>
      </c>
      <c r="H177">
        <f>VLOOKUP($A177,$A$5:$H$33,8,FALSE)</f>
        <v>0</v>
      </c>
    </row>
    <row r="178" spans="1:17" x14ac:dyDescent="0.25">
      <c r="A178" s="2" t="s">
        <v>45</v>
      </c>
      <c r="C178" s="4" t="s">
        <v>34</v>
      </c>
      <c r="D178" s="4" t="s">
        <v>16</v>
      </c>
      <c r="G178" s="4" t="s">
        <v>20</v>
      </c>
    </row>
    <row r="179" spans="1:17" x14ac:dyDescent="0.25">
      <c r="A179" s="2" t="s">
        <v>10</v>
      </c>
      <c r="C179" s="4">
        <f>IF(NOT(ISBLANK(C178)),VLOOKUP(C178,$S$36:$U$65,3,FALSE),0)</f>
        <v>87.08</v>
      </c>
      <c r="D179" s="4">
        <f>IF(NOT(ISBLANK(D178)),VLOOKUP(D178,$S$36:$U$65,3,FALSE),0)</f>
        <v>17.61</v>
      </c>
      <c r="E179" s="4">
        <f>IF(NOT(ISBLANK(E178)),VLOOKUP(E178,$S$36:$U$65,3,FALSE),0)</f>
        <v>0</v>
      </c>
      <c r="G179" s="4">
        <f>IF(NOT(ISBLANK(G178)),VLOOKUP(G178,$S$36:$U$65,2,FALSE),0)</f>
        <v>23.96</v>
      </c>
      <c r="H179" s="4">
        <f>IF(NOT(ISBLANK(H178)),VLOOKUP(H178,$S$36:$U$65,2,FALSE),0)</f>
        <v>0</v>
      </c>
      <c r="I179" s="1"/>
    </row>
    <row r="180" spans="1:17" x14ac:dyDescent="0.25">
      <c r="A180" s="2" t="s">
        <v>9</v>
      </c>
      <c r="C180" s="6">
        <f>C179*C177</f>
        <v>849.03</v>
      </c>
      <c r="D180" s="6">
        <f>D179*D177</f>
        <v>1144.6499999999999</v>
      </c>
      <c r="E180" s="6">
        <f>E179*E177</f>
        <v>0</v>
      </c>
      <c r="F180" s="1"/>
      <c r="G180" s="6">
        <f>G177*G179</f>
        <v>1713.14</v>
      </c>
      <c r="H180" s="6">
        <f>H177*H179</f>
        <v>0</v>
      </c>
      <c r="J180" s="1" t="str">
        <f>A177</f>
        <v>Prefab factory</v>
      </c>
      <c r="K180" s="4">
        <f>SUM(G180:H180)-SUM(C180:E180)</f>
        <v>-280.53999999999974</v>
      </c>
      <c r="L180" s="4">
        <f>SUM(G180:H180)/B177</f>
        <v>26.356000000000002</v>
      </c>
      <c r="M180" s="4">
        <f>K180/B177</f>
        <v>-4.3159999999999963</v>
      </c>
      <c r="N180" s="3">
        <f>K180/SUM(G180:H180)</f>
        <v>-0.16375777811504005</v>
      </c>
      <c r="O180" s="1"/>
      <c r="P180" s="4">
        <v>36860</v>
      </c>
      <c r="Q180" s="5">
        <f>P180/K180*B177</f>
        <v>-8540.3151065801758</v>
      </c>
    </row>
    <row r="181" spans="1:17" x14ac:dyDescent="0.25">
      <c r="C181" s="7"/>
      <c r="D181" s="7"/>
      <c r="E181" s="7"/>
      <c r="G181" s="7"/>
      <c r="H181" s="7"/>
    </row>
    <row r="182" spans="1:17" x14ac:dyDescent="0.25">
      <c r="A182" s="2"/>
    </row>
    <row r="183" spans="1:17" x14ac:dyDescent="0.25">
      <c r="A183" s="2"/>
      <c r="I183" s="1"/>
    </row>
    <row r="184" spans="1:17" x14ac:dyDescent="0.25">
      <c r="A184" s="2"/>
      <c r="C184" s="6"/>
      <c r="D184" s="6"/>
      <c r="E184" s="6"/>
      <c r="F184" s="1"/>
      <c r="G184" s="6"/>
      <c r="H184" s="6"/>
      <c r="J184" s="1"/>
      <c r="O184" s="1"/>
    </row>
    <row r="186" spans="1:17" x14ac:dyDescent="0.25">
      <c r="C186" s="7"/>
      <c r="D186" s="7"/>
      <c r="E186" s="7"/>
      <c r="G186" s="7"/>
      <c r="H186" s="7"/>
    </row>
    <row r="187" spans="1:17" x14ac:dyDescent="0.25">
      <c r="A187" s="2"/>
    </row>
    <row r="188" spans="1:17" x14ac:dyDescent="0.25">
      <c r="A188" s="2"/>
      <c r="I188" s="1"/>
    </row>
    <row r="189" spans="1:17" x14ac:dyDescent="0.25">
      <c r="A189" s="2"/>
      <c r="C189" s="6"/>
      <c r="D189" s="6"/>
      <c r="E189" s="6"/>
      <c r="F189" s="1"/>
      <c r="G189" s="6"/>
      <c r="H189" s="6"/>
      <c r="J189" s="1"/>
      <c r="O189" s="1"/>
    </row>
    <row r="191" spans="1:17" x14ac:dyDescent="0.25">
      <c r="C191" s="7"/>
      <c r="D191" s="7"/>
      <c r="E191" s="7"/>
      <c r="G191" s="7"/>
      <c r="H191" s="7"/>
    </row>
    <row r="192" spans="1:17" x14ac:dyDescent="0.25">
      <c r="A192" s="2"/>
    </row>
    <row r="193" spans="1:15" x14ac:dyDescent="0.25">
      <c r="A193" s="2"/>
      <c r="I193" s="1"/>
    </row>
    <row r="194" spans="1:15" x14ac:dyDescent="0.25">
      <c r="A194" s="2"/>
      <c r="C194" s="6"/>
      <c r="D194" s="6"/>
      <c r="E194" s="6"/>
      <c r="F194" s="1"/>
      <c r="G194" s="6"/>
      <c r="H194" s="6"/>
      <c r="J194" s="1"/>
      <c r="O194" s="1"/>
    </row>
    <row r="195" spans="1:15" x14ac:dyDescent="0.25">
      <c r="C195" s="7"/>
      <c r="D195" s="7"/>
      <c r="E195" s="7"/>
      <c r="G195" s="7"/>
      <c r="H195" s="7"/>
    </row>
    <row r="196" spans="1:15" x14ac:dyDescent="0.25">
      <c r="A196" s="2"/>
    </row>
    <row r="197" spans="1:15" x14ac:dyDescent="0.25">
      <c r="A197" s="2"/>
      <c r="I197" s="1"/>
    </row>
    <row r="198" spans="1:15" x14ac:dyDescent="0.25">
      <c r="A198" s="2"/>
      <c r="C198" s="6"/>
      <c r="D198" s="6"/>
      <c r="E198" s="6"/>
      <c r="F198" s="1"/>
      <c r="G198" s="6"/>
      <c r="H198" s="6"/>
      <c r="J198" s="1"/>
      <c r="O198" s="1"/>
    </row>
    <row r="200" spans="1:15" x14ac:dyDescent="0.25">
      <c r="C200" s="7"/>
      <c r="D200" s="7"/>
      <c r="E200" s="7"/>
      <c r="G200" s="7"/>
      <c r="H200" s="7"/>
    </row>
    <row r="201" spans="1:15" x14ac:dyDescent="0.25">
      <c r="A201" s="2"/>
    </row>
    <row r="202" spans="1:15" x14ac:dyDescent="0.25">
      <c r="A202" s="2"/>
      <c r="I202" s="1"/>
    </row>
    <row r="203" spans="1:15" x14ac:dyDescent="0.25">
      <c r="A203" s="2"/>
      <c r="C203" s="6"/>
      <c r="D203" s="6"/>
      <c r="E203" s="6"/>
      <c r="F203" s="1"/>
      <c r="G203" s="6"/>
      <c r="H203" s="6"/>
      <c r="J203" s="1"/>
      <c r="O203" s="1"/>
    </row>
    <row r="205" spans="1:15" x14ac:dyDescent="0.25">
      <c r="C205" s="7"/>
      <c r="D205" s="7"/>
      <c r="E205" s="7"/>
      <c r="G205" s="7"/>
      <c r="H205" s="7"/>
    </row>
    <row r="206" spans="1:15" x14ac:dyDescent="0.25">
      <c r="A206" s="2"/>
    </row>
    <row r="207" spans="1:15" x14ac:dyDescent="0.25">
      <c r="A207" s="2"/>
      <c r="I207" s="1"/>
    </row>
    <row r="208" spans="1:15" x14ac:dyDescent="0.25">
      <c r="A208" s="2"/>
      <c r="C208" s="6"/>
      <c r="D208" s="6"/>
      <c r="E208" s="6"/>
      <c r="F208" s="1"/>
      <c r="G208" s="6"/>
      <c r="H208" s="6"/>
      <c r="J208" s="1"/>
      <c r="O208" s="1"/>
    </row>
    <row r="210" spans="1:15" x14ac:dyDescent="0.25">
      <c r="C210" s="7"/>
      <c r="D210" s="7"/>
      <c r="E210" s="7"/>
      <c r="G210" s="7"/>
      <c r="H210" s="7"/>
    </row>
    <row r="211" spans="1:15" x14ac:dyDescent="0.25">
      <c r="A211" s="2"/>
    </row>
    <row r="212" spans="1:15" x14ac:dyDescent="0.25">
      <c r="A212" s="2"/>
      <c r="I212" s="1"/>
    </row>
    <row r="213" spans="1:15" x14ac:dyDescent="0.25">
      <c r="A213" s="2"/>
      <c r="C213" s="6"/>
      <c r="D213" s="6"/>
      <c r="E213" s="6"/>
      <c r="F213" s="1"/>
      <c r="G213" s="6"/>
      <c r="H213" s="6"/>
      <c r="J213" s="1"/>
      <c r="O213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D090-3F8F-4253-84A6-3C1AA2D4781D}">
  <dimension ref="A2:Y217"/>
  <sheetViews>
    <sheetView tabSelected="1" workbookViewId="0">
      <selection activeCell="L26" sqref="L26"/>
    </sheetView>
  </sheetViews>
  <sheetFormatPr defaultRowHeight="15" x14ac:dyDescent="0.25"/>
  <cols>
    <col min="1" max="1" width="16.85546875" bestFit="1" customWidth="1"/>
    <col min="3" max="3" width="11.140625" style="4" bestFit="1" customWidth="1"/>
    <col min="4" max="5" width="10.7109375" style="4" bestFit="1" customWidth="1"/>
    <col min="6" max="6" width="3.28515625" customWidth="1"/>
    <col min="7" max="8" width="11.42578125" style="4" bestFit="1" customWidth="1"/>
    <col min="9" max="9" width="3.42578125" customWidth="1"/>
    <col min="10" max="10" width="24.42578125" customWidth="1"/>
    <col min="11" max="11" width="11.85546875" style="4" bestFit="1" customWidth="1"/>
    <col min="12" max="12" width="14" style="4" bestFit="1" customWidth="1"/>
    <col min="13" max="13" width="15.7109375" style="4" bestFit="1" customWidth="1"/>
    <col min="14" max="14" width="9.85546875" style="3" bestFit="1" customWidth="1"/>
    <col min="15" max="15" width="3.42578125" customWidth="1"/>
    <col min="16" max="16" width="11.140625" style="4" bestFit="1" customWidth="1"/>
    <col min="17" max="17" width="17.5703125" style="5" bestFit="1" customWidth="1"/>
    <col min="19" max="19" width="13.5703125" bestFit="1" customWidth="1"/>
    <col min="20" max="21" width="10.140625" style="4" bestFit="1" customWidth="1"/>
    <col min="24" max="25" width="10.140625" bestFit="1" customWidth="1"/>
  </cols>
  <sheetData>
    <row r="2" spans="1:25" x14ac:dyDescent="0.25">
      <c r="A2" s="15" t="s">
        <v>78</v>
      </c>
      <c r="B2" s="15"/>
      <c r="C2" s="15"/>
      <c r="D2" s="15"/>
      <c r="E2" s="15"/>
      <c r="F2" s="15"/>
      <c r="G2" s="15"/>
      <c r="H2" s="15"/>
      <c r="J2" s="15" t="s">
        <v>79</v>
      </c>
      <c r="K2" s="15"/>
      <c r="L2" s="15"/>
      <c r="M2" s="15"/>
      <c r="N2" s="15"/>
      <c r="O2" s="15"/>
      <c r="P2" s="15"/>
      <c r="Q2" s="15"/>
      <c r="S2" s="15" t="s">
        <v>89</v>
      </c>
      <c r="T2" s="15"/>
      <c r="U2" s="15"/>
      <c r="V2" s="15"/>
      <c r="W2" s="15"/>
      <c r="X2" s="15"/>
      <c r="Y2" s="15"/>
    </row>
    <row r="4" spans="1:25" x14ac:dyDescent="0.25">
      <c r="B4" s="1" t="s">
        <v>1</v>
      </c>
      <c r="C4" s="6" t="s">
        <v>6</v>
      </c>
      <c r="D4" s="6" t="s">
        <v>7</v>
      </c>
      <c r="E4" s="6" t="s">
        <v>46</v>
      </c>
      <c r="F4" s="1"/>
      <c r="G4" s="6" t="s">
        <v>2</v>
      </c>
      <c r="H4" s="6" t="s">
        <v>3</v>
      </c>
      <c r="K4" s="6" t="s">
        <v>11</v>
      </c>
      <c r="L4" s="6" t="s">
        <v>75</v>
      </c>
      <c r="M4" s="6" t="s">
        <v>52</v>
      </c>
      <c r="N4" s="9" t="s">
        <v>12</v>
      </c>
      <c r="O4" s="1"/>
      <c r="P4" s="6" t="s">
        <v>48</v>
      </c>
      <c r="Q4" s="8" t="s">
        <v>49</v>
      </c>
      <c r="Y4" s="4"/>
    </row>
    <row r="5" spans="1:25" x14ac:dyDescent="0.25">
      <c r="A5" s="14" t="s">
        <v>83</v>
      </c>
      <c r="B5" s="12">
        <v>22</v>
      </c>
      <c r="C5" s="12"/>
      <c r="D5" s="12"/>
      <c r="E5" s="12"/>
      <c r="F5" s="12"/>
      <c r="G5" s="12">
        <v>66.501999999999995</v>
      </c>
      <c r="H5" s="12"/>
      <c r="J5" s="1" t="str">
        <f>A5</f>
        <v>Woodcutting Post</v>
      </c>
      <c r="K5" s="4">
        <f>VLOOKUP($J5,$J$44:$Q$179,2,FALSE)</f>
        <v>1662.55</v>
      </c>
      <c r="L5" s="4">
        <f>VLOOKUP($J5,$J$44:$Q$179,3,FALSE)</f>
        <v>75.570454545454538</v>
      </c>
      <c r="M5" s="4">
        <f>VLOOKUP($J5,$J$44:$Q$179,4,FALSE)</f>
        <v>75.570454545454538</v>
      </c>
      <c r="N5" s="3">
        <f>VLOOKUP($J5,$J$44:$Q$179,5,FALSE)</f>
        <v>1</v>
      </c>
      <c r="P5" s="4">
        <f>VLOOKUP($J5,$J$44:$Q$179,7,FALSE)</f>
        <v>4157</v>
      </c>
      <c r="Q5" s="7">
        <f>VLOOKUP($J5,$J$44:$Q$179,8,FALSE)</f>
        <v>55.008270427957058</v>
      </c>
      <c r="S5" s="1" t="s">
        <v>81</v>
      </c>
      <c r="T5" s="10">
        <v>2</v>
      </c>
      <c r="X5" s="4"/>
      <c r="Y5" s="4"/>
    </row>
    <row r="6" spans="1:25" x14ac:dyDescent="0.25">
      <c r="A6" s="14" t="s">
        <v>47</v>
      </c>
      <c r="B6" s="12">
        <v>10</v>
      </c>
      <c r="C6" s="12">
        <v>77.936999999999998</v>
      </c>
      <c r="D6" s="12"/>
      <c r="E6" s="12"/>
      <c r="F6" s="12"/>
      <c r="G6" s="12">
        <v>35.741</v>
      </c>
      <c r="H6" s="12"/>
      <c r="J6" s="1" t="str">
        <f t="shared" ref="J6:J23" si="0">A6</f>
        <v>Sawmill</v>
      </c>
      <c r="K6" s="4">
        <f>VLOOKUP($J6,$J$44:$Q$179,2,FALSE)</f>
        <v>167.22600000000011</v>
      </c>
      <c r="L6" s="4">
        <f>VLOOKUP($J6,$J$44:$Q$179,3,FALSE)</f>
        <v>289.50210000000004</v>
      </c>
      <c r="M6" s="4">
        <f>VLOOKUP($J6,$J$44:$Q$179,4,FALSE)</f>
        <v>16.722600000000011</v>
      </c>
      <c r="N6" s="3">
        <f>VLOOKUP($J6,$J$44:$Q$179,5,FALSE)</f>
        <v>5.7763311561470576E-2</v>
      </c>
      <c r="P6" s="4">
        <f>VLOOKUP($J6,$J$44:$Q$179,7,FALSE)</f>
        <v>21764</v>
      </c>
      <c r="Q6" s="7">
        <f>VLOOKUP($J6,$J$44:$Q$179,8,FALSE)</f>
        <v>1301.4722590984647</v>
      </c>
      <c r="S6" s="1" t="s">
        <v>80</v>
      </c>
      <c r="T6" s="10">
        <v>5</v>
      </c>
      <c r="X6" s="4"/>
      <c r="Y6" s="4"/>
    </row>
    <row r="7" spans="1:25" x14ac:dyDescent="0.25">
      <c r="A7" s="14" t="s">
        <v>90</v>
      </c>
      <c r="B7" s="12">
        <v>1</v>
      </c>
      <c r="C7" s="12"/>
      <c r="D7" s="12"/>
      <c r="E7" s="12"/>
      <c r="F7" s="12"/>
      <c r="G7" s="12">
        <v>4.4279999999999999</v>
      </c>
      <c r="H7" s="12"/>
      <c r="J7" s="1" t="str">
        <f t="shared" ref="J7" si="1">A7</f>
        <v>Farm</v>
      </c>
      <c r="K7" s="4">
        <f>VLOOKUP($J7,$J$44:$Q$179,2,FALSE)</f>
        <v>108.486</v>
      </c>
      <c r="L7" s="4">
        <f>VLOOKUP($J7,$J$44:$Q$179,3,FALSE)</f>
        <v>108.486</v>
      </c>
      <c r="M7" s="4">
        <f>VLOOKUP($J7,$J$44:$Q$179,4,FALSE)</f>
        <v>108.486</v>
      </c>
      <c r="N7" s="3">
        <f>VLOOKUP($J7,$J$44:$Q$179,5,FALSE)</f>
        <v>1</v>
      </c>
      <c r="P7" s="4">
        <f>VLOOKUP($J7,$J$44:$Q$179,7,FALSE)</f>
        <v>4157</v>
      </c>
      <c r="Q7" s="7">
        <f>VLOOKUP($J7,$J$44:$Q$179,8,FALSE)</f>
        <v>38.318308353151558</v>
      </c>
      <c r="X7" s="4"/>
      <c r="Y7" s="4"/>
    </row>
    <row r="8" spans="1:25" x14ac:dyDescent="0.25">
      <c r="A8" s="14" t="s">
        <v>50</v>
      </c>
      <c r="B8" s="12">
        <v>176</v>
      </c>
      <c r="C8" s="12"/>
      <c r="D8" s="12"/>
      <c r="E8" s="12"/>
      <c r="F8" s="12"/>
      <c r="G8" s="12">
        <v>495.47500000000002</v>
      </c>
      <c r="H8" s="12"/>
      <c r="J8" s="1" t="str">
        <f t="shared" si="0"/>
        <v>Iron Mine</v>
      </c>
      <c r="K8" s="4">
        <f>VLOOKUP($J8,$J$44:$Q$179,2,FALSE)</f>
        <v>13377.825000000001</v>
      </c>
      <c r="L8" s="4">
        <f>VLOOKUP($J8,$J$44:$Q$179,3,FALSE)</f>
        <v>76.010369318181816</v>
      </c>
      <c r="M8" s="4">
        <f>VLOOKUP($J8,$J$44:$Q$179,4,FALSE)</f>
        <v>76.010369318181816</v>
      </c>
      <c r="N8" s="3">
        <f>VLOOKUP($J8,$J$44:$Q$179,5,FALSE)</f>
        <v>1</v>
      </c>
      <c r="P8" s="4">
        <f>VLOOKUP($J8,$J$44:$Q$179,7,FALSE)</f>
        <v>85018</v>
      </c>
      <c r="Q8" s="7">
        <f>VLOOKUP($J8,$J$44:$Q$179,8,FALSE)</f>
        <v>1118.5052876682121</v>
      </c>
      <c r="T8" s="6" t="s">
        <v>13</v>
      </c>
      <c r="U8" s="6" t="s">
        <v>14</v>
      </c>
      <c r="X8" s="4"/>
      <c r="Y8" s="4"/>
    </row>
    <row r="9" spans="1:25" x14ac:dyDescent="0.25">
      <c r="A9" s="14" t="s">
        <v>51</v>
      </c>
      <c r="B9" s="12">
        <v>11</v>
      </c>
      <c r="C9" s="12">
        <v>168.26900000000001</v>
      </c>
      <c r="D9" s="12"/>
      <c r="E9" s="12"/>
      <c r="F9" s="12"/>
      <c r="G9" s="12">
        <v>55.167000000000002</v>
      </c>
      <c r="H9" s="12"/>
      <c r="J9" s="1" t="str">
        <f t="shared" si="0"/>
        <v>Iron Processing</v>
      </c>
      <c r="K9" s="4">
        <f>VLOOKUP($J9,$J$44:$Q$179,2,FALSE)</f>
        <v>2597.9989999999998</v>
      </c>
      <c r="L9" s="4">
        <f>VLOOKUP($J9,$J$44:$Q$179,3,FALSE)</f>
        <v>817.47463636363636</v>
      </c>
      <c r="M9" s="4">
        <f>VLOOKUP($J9,$J$44:$Q$179,4,FALSE)</f>
        <v>236.18172727272724</v>
      </c>
      <c r="N9" s="3">
        <f>VLOOKUP($J9,$J$44:$Q$179,5,FALSE)</f>
        <v>0.28891627552303262</v>
      </c>
      <c r="P9" s="4">
        <f>VLOOKUP($J9,$J$44:$Q$179,7,FALSE)</f>
        <v>146810</v>
      </c>
      <c r="Q9" s="7">
        <f>VLOOKUP($J9,$J$44:$Q$179,8,FALSE)</f>
        <v>621.59762186205614</v>
      </c>
      <c r="S9" s="1" t="s">
        <v>15</v>
      </c>
      <c r="T9" s="10">
        <v>7</v>
      </c>
      <c r="U9" s="10">
        <v>7.8</v>
      </c>
      <c r="X9" s="4"/>
      <c r="Y9" s="4"/>
    </row>
    <row r="10" spans="1:25" x14ac:dyDescent="0.25">
      <c r="A10" s="14" t="s">
        <v>53</v>
      </c>
      <c r="B10" s="12">
        <v>452</v>
      </c>
      <c r="C10" s="12">
        <v>327.733</v>
      </c>
      <c r="D10" s="12">
        <v>181.73699999999999</v>
      </c>
      <c r="E10" s="12"/>
      <c r="F10" s="12"/>
      <c r="G10" s="12">
        <v>17.292999999999999</v>
      </c>
      <c r="H10" s="12"/>
      <c r="J10" s="1" t="str">
        <f t="shared" si="0"/>
        <v>Steel Mill</v>
      </c>
      <c r="K10" s="4">
        <f>VLOOKUP($J10,$J$44:$Q$179,2,FALSE)</f>
        <v>-37801.909999999996</v>
      </c>
      <c r="L10" s="4">
        <f>VLOOKUP($J10,$J$44:$Q$179,3,FALSE)</f>
        <v>85.814599557522129</v>
      </c>
      <c r="M10" s="4">
        <f>VLOOKUP($J10,$J$44:$Q$179,4,FALSE)</f>
        <v>-83.632544247787607</v>
      </c>
      <c r="N10" s="3">
        <f>VLOOKUP($J10,$J$44:$Q$179,5,FALSE)</f>
        <v>-0.9745724466351221</v>
      </c>
      <c r="P10" s="4">
        <f>VLOOKUP($J10,$J$44:$Q$179,7,FALSE)</f>
        <v>257030</v>
      </c>
      <c r="Q10" s="7">
        <f>VLOOKUP($J10,$J$44:$Q$179,8,FALSE)</f>
        <v>-3073.3251309259244</v>
      </c>
      <c r="S10" s="1" t="s">
        <v>16</v>
      </c>
      <c r="T10" s="10">
        <v>26.7</v>
      </c>
      <c r="U10" s="10">
        <v>29.5</v>
      </c>
      <c r="X10" s="4"/>
      <c r="Y10" s="4"/>
    </row>
    <row r="11" spans="1:25" x14ac:dyDescent="0.25">
      <c r="A11" s="14" t="s">
        <v>54</v>
      </c>
      <c r="B11" s="12">
        <v>192</v>
      </c>
      <c r="C11" s="12"/>
      <c r="D11" s="12"/>
      <c r="E11" s="12"/>
      <c r="F11" s="12"/>
      <c r="G11" s="12">
        <v>483.90600000000001</v>
      </c>
      <c r="H11" s="12"/>
      <c r="J11" s="1" t="str">
        <f t="shared" si="0"/>
        <v>Coal Mine</v>
      </c>
      <c r="K11" s="4">
        <f>VLOOKUP($J11,$J$44:$Q$179,2,FALSE)</f>
        <v>5806.8720000000003</v>
      </c>
      <c r="L11" s="4">
        <f>VLOOKUP($J11,$J$44:$Q$179,3,FALSE)</f>
        <v>30.244125</v>
      </c>
      <c r="M11" s="4">
        <f>VLOOKUP($J11,$J$44:$Q$179,4,FALSE)</f>
        <v>30.244125</v>
      </c>
      <c r="N11" s="3">
        <f>VLOOKUP($J11,$J$44:$Q$179,5,FALSE)</f>
        <v>1</v>
      </c>
      <c r="P11" s="4">
        <f>VLOOKUP($J11,$J$44:$Q$179,7,FALSE)</f>
        <v>84568</v>
      </c>
      <c r="Q11" s="7">
        <f>VLOOKUP($J11,$J$44:$Q$179,8,FALSE)</f>
        <v>2796.1794232764214</v>
      </c>
      <c r="S11" s="1" t="s">
        <v>17</v>
      </c>
      <c r="T11" s="10">
        <v>8.6999999999999993</v>
      </c>
      <c r="U11" s="10">
        <v>9.6</v>
      </c>
      <c r="X11" s="4"/>
    </row>
    <row r="12" spans="1:25" x14ac:dyDescent="0.25">
      <c r="A12" s="14" t="s">
        <v>55</v>
      </c>
      <c r="B12" s="12">
        <v>21</v>
      </c>
      <c r="C12" s="12">
        <v>164.72</v>
      </c>
      <c r="D12" s="12"/>
      <c r="E12" s="12"/>
      <c r="F12" s="12"/>
      <c r="G12" s="12">
        <v>46.658000000000001</v>
      </c>
      <c r="H12" s="12"/>
      <c r="J12" s="1" t="str">
        <f t="shared" si="0"/>
        <v>Coal Processing</v>
      </c>
      <c r="K12" s="4">
        <f>VLOOKUP($J12,$J$44:$Q$179,2,FALSE)</f>
        <v>1719.9180000000006</v>
      </c>
      <c r="L12" s="4">
        <f>VLOOKUP($J12,$J$44:$Q$179,3,FALSE)</f>
        <v>246.62085714285718</v>
      </c>
      <c r="M12" s="4">
        <f>VLOOKUP($J12,$J$44:$Q$179,4,FALSE)</f>
        <v>81.900857142857177</v>
      </c>
      <c r="N12" s="3">
        <f>VLOOKUP($J12,$J$44:$Q$179,5,FALSE)</f>
        <v>0.33209217619179476</v>
      </c>
      <c r="P12" s="4">
        <f>VLOOKUP($J12,$J$44:$Q$179,7,FALSE)</f>
        <v>146810</v>
      </c>
      <c r="Q12" s="7">
        <f>VLOOKUP($J12,$J$44:$Q$179,8,FALSE)</f>
        <v>1792.5331323935204</v>
      </c>
      <c r="S12" s="1" t="s">
        <v>18</v>
      </c>
      <c r="T12" s="10">
        <v>26.5</v>
      </c>
      <c r="U12" s="10">
        <v>29.3</v>
      </c>
    </row>
    <row r="13" spans="1:25" x14ac:dyDescent="0.25">
      <c r="A13" s="14" t="s">
        <v>57</v>
      </c>
      <c r="B13" s="12">
        <v>98</v>
      </c>
      <c r="C13" s="12">
        <v>44.600999999999999</v>
      </c>
      <c r="D13" s="12"/>
      <c r="E13" s="12"/>
      <c r="F13" s="12"/>
      <c r="G13" s="12">
        <v>58.566000000000003</v>
      </c>
      <c r="H13" s="12"/>
      <c r="J13" s="1" t="str">
        <f t="shared" si="0"/>
        <v>Brick Factory</v>
      </c>
      <c r="K13" s="4">
        <f>VLOOKUP($J13,$J$44:$Q$179,2,FALSE)</f>
        <v>-2049.9059999999999</v>
      </c>
      <c r="L13" s="4">
        <f>VLOOKUP($J13,$J$44:$Q$179,3,FALSE)</f>
        <v>38.247183673469387</v>
      </c>
      <c r="M13" s="4">
        <f>VLOOKUP($J13,$J$44:$Q$179,4,FALSE)</f>
        <v>-20.917408163265307</v>
      </c>
      <c r="N13" s="3">
        <f>VLOOKUP($J13,$J$44:$Q$179,5,FALSE)</f>
        <v>-0.54690061212990471</v>
      </c>
      <c r="P13" s="4">
        <f>VLOOKUP($J13,$J$44:$Q$179,7,FALSE)</f>
        <v>56668</v>
      </c>
      <c r="Q13" s="7">
        <f>VLOOKUP($J13,$J$44:$Q$179,8,FALSE)</f>
        <v>-2709.1310528385206</v>
      </c>
      <c r="S13" s="1" t="s">
        <v>19</v>
      </c>
      <c r="T13" s="10">
        <v>2245</v>
      </c>
      <c r="U13" s="10">
        <v>2481</v>
      </c>
    </row>
    <row r="14" spans="1:25" x14ac:dyDescent="0.25">
      <c r="A14" s="14" t="s">
        <v>84</v>
      </c>
      <c r="B14" s="12">
        <v>24</v>
      </c>
      <c r="C14" s="12">
        <v>11.744999999999999</v>
      </c>
      <c r="D14" s="12"/>
      <c r="E14" s="12"/>
      <c r="F14" s="12"/>
      <c r="G14" s="12">
        <v>551.822</v>
      </c>
      <c r="H14" s="12"/>
      <c r="J14" s="1" t="str">
        <f t="shared" si="0"/>
        <v>Coal Power Plant</v>
      </c>
      <c r="K14" s="4">
        <f>VLOOKUP($J14,$J$44:$Q$179,2,FALSE)</f>
        <v>2335.904</v>
      </c>
      <c r="L14" s="4">
        <f>VLOOKUP($J14,$J$44:$Q$179,3,FALSE)</f>
        <v>160.94808333333333</v>
      </c>
      <c r="M14" s="4">
        <f>VLOOKUP($J14,$J$44:$Q$179,4,FALSE)</f>
        <v>97.329333333333338</v>
      </c>
      <c r="N14" s="3">
        <f>VLOOKUP($J14,$J$44:$Q$179,5,FALSE)</f>
        <v>0.60472502261339967</v>
      </c>
      <c r="P14" s="4">
        <f>VLOOKUP($J14,$J$44:$Q$179,7,FALSE)</f>
        <v>252962</v>
      </c>
      <c r="Q14" s="7">
        <f>VLOOKUP($J14,$J$44:$Q$179,8,FALSE)</f>
        <v>2599.0314670465909</v>
      </c>
      <c r="S14" s="1" t="s">
        <v>20</v>
      </c>
      <c r="T14" s="10">
        <v>59</v>
      </c>
      <c r="U14" s="10">
        <v>65</v>
      </c>
    </row>
    <row r="15" spans="1:25" x14ac:dyDescent="0.25">
      <c r="A15" s="14" t="s">
        <v>59</v>
      </c>
      <c r="B15" s="12">
        <v>39</v>
      </c>
      <c r="C15" s="12"/>
      <c r="D15" s="12"/>
      <c r="E15" s="12"/>
      <c r="F15" s="12"/>
      <c r="G15" s="12">
        <v>141.39400000000001</v>
      </c>
      <c r="H15" s="12"/>
      <c r="J15" s="1" t="str">
        <f t="shared" si="0"/>
        <v>Quarry</v>
      </c>
      <c r="K15" s="4">
        <f>VLOOKUP($J15,$J$44:$Q$179,2,FALSE)</f>
        <v>947.33979999999997</v>
      </c>
      <c r="L15" s="4">
        <f>VLOOKUP($J15,$J$44:$Q$179,3,FALSE)</f>
        <v>24.290764102564101</v>
      </c>
      <c r="M15" s="4">
        <f>VLOOKUP($J15,$J$44:$Q$179,4,FALSE)</f>
        <v>24.290764102564101</v>
      </c>
      <c r="N15" s="3">
        <f>VLOOKUP($J15,$J$44:$Q$179,5,FALSE)</f>
        <v>1</v>
      </c>
      <c r="P15" s="4">
        <f>VLOOKUP($J15,$J$44:$Q$179,7,FALSE)</f>
        <v>1641</v>
      </c>
      <c r="Q15" s="7">
        <f>VLOOKUP($J15,$J$44:$Q$179,8,FALSE)</f>
        <v>67.556540958165172</v>
      </c>
      <c r="S15" s="1" t="s">
        <v>21</v>
      </c>
      <c r="T15" s="10">
        <v>66</v>
      </c>
      <c r="U15" s="10">
        <v>73</v>
      </c>
    </row>
    <row r="16" spans="1:25" x14ac:dyDescent="0.25">
      <c r="A16" s="14" t="s">
        <v>85</v>
      </c>
      <c r="B16" s="12">
        <v>15</v>
      </c>
      <c r="C16" s="12">
        <v>129.5</v>
      </c>
      <c r="D16" s="12"/>
      <c r="E16" s="12"/>
      <c r="F16" s="12"/>
      <c r="G16" s="12">
        <v>79.468999999999994</v>
      </c>
      <c r="H16" s="12"/>
      <c r="J16" s="1" t="str">
        <f t="shared" si="0"/>
        <v>Gravel Processing</v>
      </c>
      <c r="K16" s="4">
        <f>VLOOKUP($J16,$J$44:$Q$179,2,FALSE)</f>
        <v>72.184299999999666</v>
      </c>
      <c r="L16" s="4">
        <f>VLOOKUP($J16,$J$44:$Q$179,3,FALSE)</f>
        <v>130.85895333333332</v>
      </c>
      <c r="M16" s="4">
        <f>VLOOKUP($J16,$J$44:$Q$179,4,FALSE)</f>
        <v>4.8122866666666448</v>
      </c>
      <c r="N16" s="3">
        <f>VLOOKUP($J16,$J$44:$Q$179,5,FALSE)</f>
        <v>3.6774607652626128E-2</v>
      </c>
      <c r="P16" s="4">
        <f>VLOOKUP($J16,$J$44:$Q$179,7,FALSE)</f>
        <v>36782</v>
      </c>
      <c r="Q16" s="7">
        <f>VLOOKUP($J16,$J$44:$Q$179,8,FALSE)</f>
        <v>7643.3518091884598</v>
      </c>
      <c r="S16" s="1" t="s">
        <v>22</v>
      </c>
      <c r="T16" s="10">
        <v>27</v>
      </c>
      <c r="U16" s="10">
        <v>30</v>
      </c>
    </row>
    <row r="17" spans="1:21" x14ac:dyDescent="0.25">
      <c r="A17" s="14" t="s">
        <v>61</v>
      </c>
      <c r="B17" s="12">
        <v>20</v>
      </c>
      <c r="C17" s="12">
        <v>18.491</v>
      </c>
      <c r="D17" s="12">
        <v>162.685</v>
      </c>
      <c r="E17" s="12"/>
      <c r="F17" s="12"/>
      <c r="G17" s="12">
        <v>46.542999999999999</v>
      </c>
      <c r="H17" s="12"/>
      <c r="J17" s="1" t="str">
        <f t="shared" si="0"/>
        <v>Cement Plant</v>
      </c>
      <c r="K17" s="4">
        <f>VLOOKUP($J17,$J$44:$Q$179,2,FALSE)</f>
        <v>-4246.4794999999995</v>
      </c>
      <c r="L17" s="4">
        <f>VLOOKUP($J17,$J$44:$Q$179,3,FALSE)</f>
        <v>188.49914999999999</v>
      </c>
      <c r="M17" s="4">
        <f>VLOOKUP($J17,$J$44:$Q$179,4,FALSE)</f>
        <v>-212.32397499999996</v>
      </c>
      <c r="N17" s="3">
        <f>VLOOKUP($J17,$J$44:$Q$179,5,FALSE)</f>
        <v>-1.1263922145007019</v>
      </c>
      <c r="P17" s="4">
        <f>VLOOKUP($J17,$J$44:$Q$179,7,FALSE)</f>
        <v>203603</v>
      </c>
      <c r="Q17" s="7">
        <f>VLOOKUP($J17,$J$44:$Q$179,8,FALSE)</f>
        <v>-958.92609395618194</v>
      </c>
      <c r="S17" s="1" t="s">
        <v>23</v>
      </c>
      <c r="T17" s="10">
        <v>79</v>
      </c>
      <c r="U17" s="10">
        <v>87</v>
      </c>
    </row>
    <row r="18" spans="1:21" x14ac:dyDescent="0.25">
      <c r="A18" s="14" t="s">
        <v>62</v>
      </c>
      <c r="B18" s="12">
        <v>4</v>
      </c>
      <c r="C18" s="12">
        <v>160.43</v>
      </c>
      <c r="D18" s="12">
        <v>28.48</v>
      </c>
      <c r="E18" s="12"/>
      <c r="F18" s="12"/>
      <c r="G18" s="12">
        <v>112.752</v>
      </c>
      <c r="H18" s="12"/>
      <c r="J18" s="1" t="str">
        <f t="shared" si="0"/>
        <v>Concrete Plant</v>
      </c>
      <c r="K18" s="4">
        <f>VLOOKUP($J18,$J$44:$Q$179,2,FALSE)</f>
        <v>-5816.8510000000006</v>
      </c>
      <c r="L18" s="4">
        <f>VLOOKUP($J18,$J$44:$Q$179,3,FALSE)</f>
        <v>620.13599999999997</v>
      </c>
      <c r="M18" s="4">
        <f>VLOOKUP($J18,$J$44:$Q$179,4,FALSE)</f>
        <v>-1454.2127500000001</v>
      </c>
      <c r="N18" s="3">
        <f>VLOOKUP($J18,$J$44:$Q$179,5,FALSE)</f>
        <v>-2.3449900505695527</v>
      </c>
      <c r="P18" s="4">
        <f>VLOOKUP($J18,$J$44:$Q$179,7,FALSE)</f>
        <v>34720</v>
      </c>
      <c r="Q18" s="7">
        <f>VLOOKUP($J18,$J$44:$Q$179,8,FALSE)</f>
        <v>-23.875461138681391</v>
      </c>
      <c r="S18" s="1" t="s">
        <v>24</v>
      </c>
      <c r="T18" s="10">
        <v>3416</v>
      </c>
      <c r="U18" s="10">
        <v>3776</v>
      </c>
    </row>
    <row r="19" spans="1:21" x14ac:dyDescent="0.25">
      <c r="A19" s="14" t="s">
        <v>86</v>
      </c>
      <c r="B19" s="12">
        <v>1</v>
      </c>
      <c r="C19" s="12"/>
      <c r="D19" s="12"/>
      <c r="E19" s="12"/>
      <c r="F19" s="12"/>
      <c r="G19" s="12">
        <v>2.3610000000000002</v>
      </c>
      <c r="H19" s="12"/>
      <c r="J19" s="1" t="str">
        <f t="shared" si="0"/>
        <v>Oil Rig</v>
      </c>
      <c r="K19" s="4">
        <f>VLOOKUP($J19,$J$44:$Q$179,2,FALSE)</f>
        <v>181.79700000000003</v>
      </c>
      <c r="L19" s="4">
        <f>VLOOKUP($J19,$J$44:$Q$179,3,FALSE)</f>
        <v>181.79700000000003</v>
      </c>
      <c r="M19" s="4">
        <f>VLOOKUP($J19,$J$44:$Q$179,4,FALSE)</f>
        <v>181.79700000000003</v>
      </c>
      <c r="N19" s="3">
        <f>VLOOKUP($J19,$J$44:$Q$179,5,FALSE)</f>
        <v>1</v>
      </c>
      <c r="P19" s="4">
        <f>VLOOKUP($J19,$J$44:$Q$179,7,FALSE)</f>
        <v>6069</v>
      </c>
      <c r="Q19" s="7">
        <f>VLOOKUP($J19,$J$44:$Q$179,8,FALSE)</f>
        <v>33.383389164837702</v>
      </c>
      <c r="S19" s="1" t="s">
        <v>25</v>
      </c>
      <c r="T19" s="10">
        <v>113</v>
      </c>
      <c r="U19" s="10">
        <v>125</v>
      </c>
    </row>
    <row r="20" spans="1:21" x14ac:dyDescent="0.25">
      <c r="A20" s="14" t="s">
        <v>5</v>
      </c>
      <c r="B20" s="12">
        <v>439</v>
      </c>
      <c r="C20" s="12">
        <v>174.28800000000001</v>
      </c>
      <c r="D20" s="12"/>
      <c r="E20" s="12"/>
      <c r="F20" s="12"/>
      <c r="G20" s="12">
        <v>50.210999999999999</v>
      </c>
      <c r="H20" s="12">
        <v>49.460999999999999</v>
      </c>
      <c r="J20" s="1" t="str">
        <f t="shared" si="0"/>
        <v>Oil Refinery</v>
      </c>
      <c r="K20" s="4">
        <f>VLOOKUP($J20,$J$44:$Q$179,2,FALSE)</f>
        <v>13374.071999999998</v>
      </c>
      <c r="L20" s="4">
        <f>VLOOKUP($J20,$J$44:$Q$179,3,FALSE)</f>
        <v>66.989904328018227</v>
      </c>
      <c r="M20" s="4">
        <f>VLOOKUP($J20,$J$44:$Q$179,4,FALSE)</f>
        <v>30.46485649202733</v>
      </c>
      <c r="N20" s="3">
        <f>VLOOKUP($J20,$J$44:$Q$179,5,FALSE)</f>
        <v>0.45476787581088607</v>
      </c>
      <c r="P20" s="4">
        <f>VLOOKUP($J20,$J$44:$Q$179,7,FALSE)</f>
        <v>296868</v>
      </c>
      <c r="Q20" s="7">
        <f>VLOOKUP($J20,$J$44:$Q$179,8,FALSE)</f>
        <v>9744.6052331705723</v>
      </c>
      <c r="S20" s="1" t="s">
        <v>26</v>
      </c>
      <c r="T20" s="10">
        <v>14</v>
      </c>
      <c r="U20" s="10">
        <v>16</v>
      </c>
    </row>
    <row r="21" spans="1:21" x14ac:dyDescent="0.25">
      <c r="A21" s="14" t="s">
        <v>87</v>
      </c>
      <c r="B21" s="12">
        <v>4</v>
      </c>
      <c r="C21" s="12">
        <v>91.778000000000006</v>
      </c>
      <c r="D21" s="12">
        <v>17.757000000000001</v>
      </c>
      <c r="E21" s="12">
        <v>10.627000000000001</v>
      </c>
      <c r="F21" s="12"/>
      <c r="G21" s="12">
        <v>98.99</v>
      </c>
      <c r="H21" s="12"/>
      <c r="J21" s="1" t="str">
        <f t="shared" si="0"/>
        <v>Asphalt Plant</v>
      </c>
      <c r="K21" s="4">
        <f>VLOOKUP($J21,$J$44:$Q$179,2,FALSE)</f>
        <v>-11037.831600000001</v>
      </c>
      <c r="L21" s="4">
        <f>VLOOKUP($J21,$J$44:$Q$179,3,FALSE)</f>
        <v>1781.82</v>
      </c>
      <c r="M21" s="4">
        <f>VLOOKUP($J21,$J$44:$Q$179,4,FALSE)</f>
        <v>-2759.4579000000003</v>
      </c>
      <c r="N21" s="3">
        <f>VLOOKUP($J21,$J$44:$Q$179,5,FALSE)</f>
        <v>-1.5486737717614576</v>
      </c>
      <c r="P21" s="4">
        <f>VLOOKUP($J21,$J$44:$Q$179,7,FALSE)</f>
        <v>38940</v>
      </c>
      <c r="Q21" s="7">
        <f>VLOOKUP($J21,$J$44:$Q$179,8,FALSE)</f>
        <v>-14.111467328419831</v>
      </c>
      <c r="S21" s="1" t="s">
        <v>27</v>
      </c>
      <c r="T21" s="10">
        <v>165</v>
      </c>
      <c r="U21" s="10">
        <v>182</v>
      </c>
    </row>
    <row r="22" spans="1:21" x14ac:dyDescent="0.25">
      <c r="A22" s="14" t="s">
        <v>65</v>
      </c>
      <c r="B22" s="12">
        <v>7</v>
      </c>
      <c r="C22" s="12">
        <v>1.4019999999999999</v>
      </c>
      <c r="D22" s="12"/>
      <c r="E22" s="12"/>
      <c r="F22" s="12"/>
      <c r="G22" s="12">
        <v>0.27100000000000002</v>
      </c>
      <c r="H22" s="12"/>
      <c r="J22" s="1" t="str">
        <f t="shared" si="0"/>
        <v>Livestock Farm</v>
      </c>
      <c r="K22" s="4">
        <f>VLOOKUP($J22,$J$44:$Q$179,2,FALSE)</f>
        <v>119.38940000000002</v>
      </c>
      <c r="L22" s="4">
        <f>VLOOKUP($J22,$J$44:$Q$179,3,FALSE)</f>
        <v>23.925428571428572</v>
      </c>
      <c r="M22" s="4">
        <f>VLOOKUP($J22,$J$44:$Q$179,4,FALSE)</f>
        <v>17.055628571428574</v>
      </c>
      <c r="N22" s="3">
        <f>VLOOKUP($J22,$J$44:$Q$179,5,FALSE)</f>
        <v>0.71286616749662657</v>
      </c>
      <c r="P22" s="4">
        <f>VLOOKUP($J22,$J$44:$Q$179,7,FALSE)</f>
        <v>47934</v>
      </c>
      <c r="Q22" s="7">
        <f>VLOOKUP($J22,$J$44:$Q$179,8,FALSE)</f>
        <v>2810.4505090066614</v>
      </c>
      <c r="S22" s="1" t="s">
        <v>28</v>
      </c>
      <c r="T22" s="10">
        <v>29</v>
      </c>
      <c r="U22" s="10">
        <v>33</v>
      </c>
    </row>
    <row r="23" spans="1:21" x14ac:dyDescent="0.25">
      <c r="A23" s="14" t="s">
        <v>66</v>
      </c>
      <c r="B23" s="12">
        <v>6</v>
      </c>
      <c r="C23" s="12">
        <v>38.423999999999999</v>
      </c>
      <c r="D23" s="12"/>
      <c r="E23" s="12"/>
      <c r="F23" s="12"/>
      <c r="G23" s="12">
        <v>11.105</v>
      </c>
      <c r="H23" s="12"/>
      <c r="J23" s="1" t="str">
        <f t="shared" si="0"/>
        <v>Slaughterhouse</v>
      </c>
      <c r="K23" s="4">
        <f>VLOOKUP($J23,$J$44:$Q$179,2,FALSE)</f>
        <v>-19161.050000000003</v>
      </c>
      <c r="L23" s="4">
        <f>VLOOKUP($J23,$J$44:$Q$179,3,FALSE)</f>
        <v>1225.2516666666668</v>
      </c>
      <c r="M23" s="4">
        <f>VLOOKUP($J23,$J$44:$Q$179,4,FALSE)</f>
        <v>-3193.5083333333337</v>
      </c>
      <c r="N23" s="3">
        <f>VLOOKUP($J23,$J$44:$Q$179,5,FALSE)</f>
        <v>-2.6064101116641347</v>
      </c>
      <c r="P23" s="4">
        <f>VLOOKUP($J23,$J$44:$Q$179,7,FALSE)</f>
        <v>35621</v>
      </c>
      <c r="Q23" s="7">
        <f>VLOOKUP($J23,$J$44:$Q$179,8,FALSE)</f>
        <v>-11.154190401882985</v>
      </c>
      <c r="S23" s="1" t="s">
        <v>29</v>
      </c>
      <c r="T23" s="10">
        <v>156</v>
      </c>
      <c r="U23" s="10">
        <v>835</v>
      </c>
    </row>
    <row r="24" spans="1:21" x14ac:dyDescent="0.25">
      <c r="A24" s="14" t="s">
        <v>8</v>
      </c>
      <c r="B24" s="12">
        <v>178</v>
      </c>
      <c r="C24" s="12">
        <v>37.823999999999998</v>
      </c>
      <c r="D24" s="12"/>
      <c r="E24" s="12"/>
      <c r="F24" s="12"/>
      <c r="G24" s="12">
        <v>40.792999999999999</v>
      </c>
      <c r="H24" s="12"/>
      <c r="J24" s="1" t="str">
        <f t="shared" ref="J24:J33" si="2">A24</f>
        <v>Food Factory</v>
      </c>
      <c r="K24" s="4">
        <f>VLOOKUP($J24,$J$44:$Q$179,2,FALSE)</f>
        <v>12980.186799999999</v>
      </c>
      <c r="L24" s="4">
        <f>VLOOKUP($J24,$J$44:$Q$179,3,FALSE)</f>
        <v>80.21095505617977</v>
      </c>
      <c r="M24" s="4">
        <f>VLOOKUP($J24,$J$44:$Q$179,4,FALSE)</f>
        <v>72.92239775280899</v>
      </c>
      <c r="N24" s="3">
        <f>VLOOKUP($J24,$J$44:$Q$179,5,FALSE)</f>
        <v>0.90913264530679283</v>
      </c>
      <c r="P24" s="4">
        <f>VLOOKUP($J24,$J$44:$Q$179,7,FALSE)</f>
        <v>71504</v>
      </c>
      <c r="Q24" s="7">
        <f>VLOOKUP($J24,$J$44:$Q$179,8,FALSE)</f>
        <v>980.54921674933075</v>
      </c>
      <c r="S24" s="1" t="s">
        <v>30</v>
      </c>
      <c r="T24" s="10">
        <v>83</v>
      </c>
      <c r="U24" s="10">
        <v>92</v>
      </c>
    </row>
    <row r="25" spans="1:21" x14ac:dyDescent="0.25">
      <c r="A25" s="14" t="s">
        <v>67</v>
      </c>
      <c r="B25" s="12">
        <v>80</v>
      </c>
      <c r="C25" s="12">
        <v>24.14</v>
      </c>
      <c r="D25" s="12"/>
      <c r="E25" s="12"/>
      <c r="F25" s="12"/>
      <c r="G25" s="12">
        <v>4.6479999999999997</v>
      </c>
      <c r="H25" s="12"/>
      <c r="J25" s="1" t="str">
        <f t="shared" si="2"/>
        <v>Distillery</v>
      </c>
      <c r="K25" s="4">
        <f>VLOOKUP($J25,$J$44:$Q$179,2,FALSE)</f>
        <v>3727.038</v>
      </c>
      <c r="L25" s="4">
        <f>VLOOKUP($J25,$J$44:$Q$179,3,FALSE)</f>
        <v>56.938000000000002</v>
      </c>
      <c r="M25" s="4">
        <f>VLOOKUP($J25,$J$44:$Q$179,4,FALSE)</f>
        <v>46.587975</v>
      </c>
      <c r="N25" s="3">
        <f>VLOOKUP($J25,$J$44:$Q$179,5,FALSE)</f>
        <v>0.81822289156626504</v>
      </c>
      <c r="P25" s="4">
        <f>VLOOKUP($J25,$J$44:$Q$179,7,FALSE)</f>
        <v>37951</v>
      </c>
      <c r="Q25" s="7">
        <f>VLOOKUP($J25,$J$44:$Q$179,8,FALSE)</f>
        <v>814.60934930097312</v>
      </c>
      <c r="S25" s="1" t="s">
        <v>31</v>
      </c>
      <c r="T25" s="10">
        <v>436</v>
      </c>
      <c r="U25" s="10">
        <v>482</v>
      </c>
    </row>
    <row r="26" spans="1:21" x14ac:dyDescent="0.25">
      <c r="A26" s="14"/>
      <c r="B26" s="12"/>
      <c r="C26" s="12"/>
      <c r="D26" s="12"/>
      <c r="E26" s="12"/>
      <c r="F26" s="12"/>
      <c r="G26" s="12"/>
      <c r="H26" s="12"/>
      <c r="J26" s="1"/>
      <c r="Q26" s="7"/>
      <c r="S26" s="1" t="s">
        <v>32</v>
      </c>
      <c r="T26" s="10">
        <v>1000</v>
      </c>
      <c r="U26" s="10">
        <v>1106</v>
      </c>
    </row>
    <row r="27" spans="1:21" x14ac:dyDescent="0.25">
      <c r="A27" s="14"/>
      <c r="B27" s="12"/>
      <c r="C27" s="12"/>
      <c r="D27" s="12"/>
      <c r="E27" s="12"/>
      <c r="F27" s="12"/>
      <c r="G27" s="12"/>
      <c r="H27" s="12"/>
      <c r="J27" s="1"/>
      <c r="Q27" s="7"/>
      <c r="S27" s="1" t="s">
        <v>33</v>
      </c>
      <c r="T27" s="10">
        <v>982</v>
      </c>
      <c r="U27" s="10">
        <v>1086</v>
      </c>
    </row>
    <row r="28" spans="1:21" x14ac:dyDescent="0.25">
      <c r="A28" s="14" t="s">
        <v>88</v>
      </c>
      <c r="B28" s="12">
        <v>45</v>
      </c>
      <c r="C28" s="12">
        <v>9.3070000000000004</v>
      </c>
      <c r="D28" s="12">
        <v>0.22500000000000001</v>
      </c>
      <c r="E28" s="12"/>
      <c r="F28" s="12"/>
      <c r="G28" s="12">
        <v>0.43</v>
      </c>
      <c r="H28" s="12"/>
      <c r="J28" s="1" t="str">
        <f t="shared" si="2"/>
        <v>Fabric Factory</v>
      </c>
      <c r="K28" s="4">
        <f>VLOOKUP($J28,$J$44:$Q$179,2,FALSE)</f>
        <v>-740.81510000000014</v>
      </c>
      <c r="L28" s="4">
        <f>VLOOKUP($J28,$J$44:$Q$179,3,FALSE)</f>
        <v>9.5364444444444434</v>
      </c>
      <c r="M28" s="4">
        <f>VLOOKUP($J28,$J$44:$Q$179,4,FALSE)</f>
        <v>-16.462557777777782</v>
      </c>
      <c r="N28" s="3">
        <f>VLOOKUP($J28,$J$44:$Q$179,5,FALSE)</f>
        <v>-1.7262783706948786</v>
      </c>
      <c r="P28" s="4">
        <f>VLOOKUP($J28,$J$44:$Q$179,7,FALSE)</f>
        <v>35900</v>
      </c>
      <c r="Q28" s="7">
        <f>VLOOKUP($J28,$J$44:$Q$179,8,FALSE)</f>
        <v>-2180.706089819173</v>
      </c>
      <c r="S28" s="1" t="s">
        <v>34</v>
      </c>
      <c r="T28" s="10">
        <v>83</v>
      </c>
      <c r="U28" s="10">
        <v>92</v>
      </c>
    </row>
    <row r="29" spans="1:21" x14ac:dyDescent="0.25">
      <c r="A29" s="14"/>
      <c r="B29" s="12"/>
      <c r="C29" s="12"/>
      <c r="D29" s="12"/>
      <c r="E29" s="12"/>
      <c r="F29" s="12"/>
      <c r="G29" s="12"/>
      <c r="H29" s="12"/>
      <c r="J29" s="1"/>
      <c r="Q29" s="7"/>
      <c r="S29" s="1" t="s">
        <v>35</v>
      </c>
      <c r="T29" s="10">
        <v>352</v>
      </c>
      <c r="U29" s="10">
        <v>389</v>
      </c>
    </row>
    <row r="30" spans="1:21" x14ac:dyDescent="0.25">
      <c r="A30" s="14"/>
      <c r="B30" s="12"/>
      <c r="C30" s="12"/>
      <c r="D30" s="12"/>
      <c r="E30" s="12"/>
      <c r="F30" s="12"/>
      <c r="G30" s="12"/>
      <c r="H30" s="12"/>
      <c r="J30" s="1"/>
      <c r="Q30" s="7"/>
      <c r="S30" s="1" t="s">
        <v>36</v>
      </c>
      <c r="T30" s="10">
        <v>13853</v>
      </c>
      <c r="U30" s="10">
        <v>15311</v>
      </c>
    </row>
    <row r="31" spans="1:21" x14ac:dyDescent="0.25">
      <c r="A31" s="14" t="s">
        <v>73</v>
      </c>
      <c r="B31" s="12">
        <v>35</v>
      </c>
      <c r="C31" s="12">
        <v>1.113</v>
      </c>
      <c r="D31" s="12"/>
      <c r="E31" s="12"/>
      <c r="F31" s="12"/>
      <c r="G31" s="12">
        <v>7.0000000000000007E-2</v>
      </c>
      <c r="H31" s="12"/>
      <c r="J31" s="1" t="str">
        <f t="shared" si="2"/>
        <v>Clothing Factory</v>
      </c>
      <c r="K31" s="4">
        <f>VLOOKUP($J31,$J$44:$Q$179,2,FALSE)</f>
        <v>-266.97299999999984</v>
      </c>
      <c r="L31" s="4">
        <f>VLOOKUP($J31,$J$44:$Q$179,3,FALSE)</f>
        <v>27.702000000000002</v>
      </c>
      <c r="M31" s="4">
        <f>VLOOKUP($J31,$J$44:$Q$179,4,FALSE)</f>
        <v>-7.6277999999999953</v>
      </c>
      <c r="N31" s="3">
        <f>VLOOKUP($J31,$J$44:$Q$179,5,FALSE)</f>
        <v>-0.27535196014728158</v>
      </c>
      <c r="P31" s="4">
        <f>VLOOKUP($J31,$J$44:$Q$179,7,FALSE)</f>
        <v>49231</v>
      </c>
      <c r="Q31" s="7">
        <f>VLOOKUP($J31,$J$44:$Q$179,8,FALSE)</f>
        <v>-6454.1545399722108</v>
      </c>
      <c r="S31" s="1" t="s">
        <v>37</v>
      </c>
      <c r="T31" s="10">
        <v>664</v>
      </c>
      <c r="U31" s="10">
        <v>774</v>
      </c>
    </row>
    <row r="32" spans="1:21" x14ac:dyDescent="0.25">
      <c r="A32" s="14"/>
      <c r="B32" s="12"/>
      <c r="C32" s="12"/>
      <c r="D32" s="12"/>
      <c r="E32" s="12"/>
      <c r="F32" s="12"/>
      <c r="G32" s="12"/>
      <c r="H32" s="12"/>
      <c r="J32" s="1"/>
      <c r="Q32" s="7"/>
      <c r="S32" s="1" t="s">
        <v>38</v>
      </c>
      <c r="T32" s="10">
        <v>620</v>
      </c>
      <c r="U32" s="10">
        <v>685</v>
      </c>
    </row>
    <row r="33" spans="1:21" x14ac:dyDescent="0.25">
      <c r="A33" s="14" t="s">
        <v>76</v>
      </c>
      <c r="B33" s="12">
        <v>66</v>
      </c>
      <c r="C33" s="13">
        <v>9.7550000000000008</v>
      </c>
      <c r="D33" s="13">
        <v>64.022999999999996</v>
      </c>
      <c r="E33" s="13"/>
      <c r="F33" s="11"/>
      <c r="G33" s="13">
        <v>49.201000000000001</v>
      </c>
      <c r="H33" s="13"/>
      <c r="J33" s="1" t="str">
        <f t="shared" si="2"/>
        <v>Prefab Factory</v>
      </c>
      <c r="K33" s="4">
        <f>VLOOKUP($J33,$J$44:$Q$184,2,FALSE)</f>
        <v>-350.57150000000001</v>
      </c>
      <c r="L33" s="4">
        <f>VLOOKUP($J33,$J$44:$Q$184,3,FALSE)</f>
        <v>42.491772727272725</v>
      </c>
      <c r="M33" s="4">
        <f>VLOOKUP($J33,$J$44:$Q$184,4,FALSE)</f>
        <v>-5.3116893939393943</v>
      </c>
      <c r="N33" s="3">
        <f>VLOOKUP($J33,$J$44:$Q$184,5,FALSE)</f>
        <v>-0.12500512576944486</v>
      </c>
      <c r="P33" s="4">
        <f>VLOOKUP($J33,$J$44:$Q$184,7,FALSE)</f>
        <v>36860</v>
      </c>
      <c r="Q33" s="7">
        <f>VLOOKUP($J33,$J$44:$Q$184,8,FALSE)</f>
        <v>-6939.411789035903</v>
      </c>
      <c r="S33" s="1" t="s">
        <v>39</v>
      </c>
      <c r="T33" s="10">
        <v>74</v>
      </c>
      <c r="U33" s="10">
        <v>81</v>
      </c>
    </row>
    <row r="34" spans="1:21" x14ac:dyDescent="0.25">
      <c r="K34" s="4">
        <f>SUM(K5:K33)</f>
        <v>-22293.600400000003</v>
      </c>
      <c r="L34" s="4">
        <f>SUM(L5:L33)</f>
        <v>6389.3664481643636</v>
      </c>
      <c r="M34" s="4">
        <f>SUM(M5:M33)</f>
        <v>-6653.0785827180543</v>
      </c>
      <c r="S34" s="1" t="s">
        <v>40</v>
      </c>
      <c r="T34" s="10">
        <v>24</v>
      </c>
      <c r="U34" s="10">
        <v>26</v>
      </c>
    </row>
    <row r="35" spans="1:21" x14ac:dyDescent="0.25">
      <c r="S35" s="1" t="s">
        <v>41</v>
      </c>
      <c r="T35" s="10">
        <v>2780</v>
      </c>
      <c r="U35" s="10">
        <v>3072</v>
      </c>
    </row>
    <row r="36" spans="1:21" x14ac:dyDescent="0.25">
      <c r="S36" s="1" t="s">
        <v>42</v>
      </c>
      <c r="T36" s="10">
        <v>3429</v>
      </c>
      <c r="U36" s="10">
        <v>3790</v>
      </c>
    </row>
    <row r="37" spans="1:21" x14ac:dyDescent="0.25">
      <c r="S37" s="1" t="s">
        <v>43</v>
      </c>
      <c r="T37" s="10">
        <v>1323</v>
      </c>
      <c r="U37" s="10">
        <v>1462</v>
      </c>
    </row>
    <row r="38" spans="1:21" x14ac:dyDescent="0.25">
      <c r="A38" s="15" t="s">
        <v>82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S38" s="1" t="s">
        <v>44</v>
      </c>
      <c r="T38" s="10">
        <v>3154</v>
      </c>
      <c r="U38" s="10">
        <v>3487</v>
      </c>
    </row>
    <row r="40" spans="1:21" x14ac:dyDescent="0.25">
      <c r="B40" t="s">
        <v>1</v>
      </c>
      <c r="C40" s="4" t="s">
        <v>6</v>
      </c>
      <c r="D40" s="4" t="s">
        <v>7</v>
      </c>
      <c r="E40" s="4" t="s">
        <v>46</v>
      </c>
      <c r="G40" s="4" t="s">
        <v>2</v>
      </c>
      <c r="H40" s="4" t="s">
        <v>3</v>
      </c>
      <c r="K40" s="4" t="s">
        <v>11</v>
      </c>
      <c r="L40" s="4" t="s">
        <v>75</v>
      </c>
      <c r="M40" s="4" t="s">
        <v>52</v>
      </c>
      <c r="N40" s="3" t="s">
        <v>12</v>
      </c>
      <c r="P40" s="4" t="s">
        <v>48</v>
      </c>
      <c r="Q40" s="5" t="s">
        <v>49</v>
      </c>
      <c r="T40" s="4" t="s">
        <v>13</v>
      </c>
      <c r="U40" s="4" t="s">
        <v>14</v>
      </c>
    </row>
    <row r="41" spans="1:21" x14ac:dyDescent="0.25">
      <c r="A41" t="s">
        <v>0</v>
      </c>
      <c r="B41">
        <f>VLOOKUP($A41,$A$5:$H$32,2,FALSE)</f>
        <v>22</v>
      </c>
      <c r="C41">
        <f>VLOOKUP($A41,$A$5:$H$32,3,FALSE)</f>
        <v>0</v>
      </c>
      <c r="D41">
        <f>VLOOKUP($A41,$A$5:$H$32,4,FALSE)</f>
        <v>0</v>
      </c>
      <c r="E41">
        <f>VLOOKUP($A41,$A$5:$H$32,5,FALSE)</f>
        <v>0</v>
      </c>
      <c r="G41">
        <f>VLOOKUP($A41,$A$5:$H$32,7,FALSE)</f>
        <v>66.501999999999995</v>
      </c>
      <c r="H41">
        <f>VLOOKUP($A41,$A$5:$H$32,8,FALSE)</f>
        <v>0</v>
      </c>
      <c r="S41" t="s">
        <v>15</v>
      </c>
      <c r="T41" s="4">
        <f>T9</f>
        <v>7</v>
      </c>
      <c r="U41" s="4">
        <f>U9</f>
        <v>7.8</v>
      </c>
    </row>
    <row r="42" spans="1:21" x14ac:dyDescent="0.25">
      <c r="A42" s="2" t="s">
        <v>45</v>
      </c>
      <c r="G42" s="4" t="s">
        <v>22</v>
      </c>
      <c r="S42" t="s">
        <v>16</v>
      </c>
      <c r="T42" s="4">
        <f t="shared" ref="T42:T70" si="3">T10-$T$5</f>
        <v>24.7</v>
      </c>
      <c r="U42" s="4">
        <f>U10+$T$6</f>
        <v>34.5</v>
      </c>
    </row>
    <row r="43" spans="1:21" x14ac:dyDescent="0.25">
      <c r="A43" s="2" t="s">
        <v>10</v>
      </c>
      <c r="C43" s="4">
        <f>IF(NOT(ISBLANK(C42)),VLOOKUP(C42,$S$41:$U$70,3,FALSE),0)</f>
        <v>0</v>
      </c>
      <c r="D43" s="4">
        <f>IF(NOT(ISBLANK(D42)),VLOOKUP(D42,$S$41:$U$70,3,FALSE),0)</f>
        <v>0</v>
      </c>
      <c r="E43" s="4">
        <f>IF(NOT(ISBLANK(E42)),VLOOKUP(E42,$S$41:$U$70,3,FALSE),0)</f>
        <v>0</v>
      </c>
      <c r="G43" s="4">
        <f>IF(NOT(ISBLANK(G42)),VLOOKUP(G42,$S$41:$U$70,2,FALSE),0)</f>
        <v>25</v>
      </c>
      <c r="H43" s="4">
        <f>IF(NOT(ISBLANK(H42)),VLOOKUP(H42,$S$41:$U$70,2,FALSE),0)</f>
        <v>0</v>
      </c>
      <c r="S43" t="s">
        <v>17</v>
      </c>
      <c r="T43" s="4">
        <f t="shared" si="3"/>
        <v>6.6999999999999993</v>
      </c>
      <c r="U43" s="4">
        <f>U11+$T$6</f>
        <v>14.6</v>
      </c>
    </row>
    <row r="44" spans="1:21" x14ac:dyDescent="0.25">
      <c r="A44" s="2" t="s">
        <v>9</v>
      </c>
      <c r="C44" s="6">
        <f>C43*C41</f>
        <v>0</v>
      </c>
      <c r="D44" s="6">
        <f>D43*D41</f>
        <v>0</v>
      </c>
      <c r="E44" s="6">
        <f>E43*E41</f>
        <v>0</v>
      </c>
      <c r="F44" s="1"/>
      <c r="G44" s="6">
        <f>G41*G43</f>
        <v>1662.55</v>
      </c>
      <c r="H44" s="6">
        <f>H41*H43</f>
        <v>0</v>
      </c>
      <c r="I44" s="1"/>
      <c r="J44" s="1" t="str">
        <f>A41</f>
        <v>Woodcutting post</v>
      </c>
      <c r="K44" s="4">
        <f>SUM(G44:H44)-SUM(C44:E44)</f>
        <v>1662.55</v>
      </c>
      <c r="L44" s="4">
        <f>SUM(G44:H44)/B41</f>
        <v>75.570454545454538</v>
      </c>
      <c r="M44" s="4">
        <f>K44/B41</f>
        <v>75.570454545454538</v>
      </c>
      <c r="N44" s="3">
        <f>K44/SUM(G44:H44)</f>
        <v>1</v>
      </c>
      <c r="O44" s="1"/>
      <c r="P44" s="4">
        <v>4157</v>
      </c>
      <c r="Q44" s="5">
        <f>P44/K44*B41</f>
        <v>55.008270427957058</v>
      </c>
      <c r="S44" t="s">
        <v>18</v>
      </c>
      <c r="T44" s="4">
        <f t="shared" si="3"/>
        <v>24.5</v>
      </c>
      <c r="U44" s="4">
        <f t="shared" ref="U44:U70" si="4">U12+$T$6</f>
        <v>34.299999999999997</v>
      </c>
    </row>
    <row r="45" spans="1:21" x14ac:dyDescent="0.25">
      <c r="S45" t="s">
        <v>19</v>
      </c>
      <c r="T45" s="4">
        <f t="shared" si="3"/>
        <v>2243</v>
      </c>
      <c r="U45" s="4">
        <f t="shared" si="4"/>
        <v>2486</v>
      </c>
    </row>
    <row r="46" spans="1:21" x14ac:dyDescent="0.25">
      <c r="A46" t="s">
        <v>47</v>
      </c>
      <c r="B46">
        <f>VLOOKUP($A46,$A$5:$H$32,2,FALSE)</f>
        <v>10</v>
      </c>
      <c r="C46">
        <f>VLOOKUP($A46,$A$5:$H$32,3,FALSE)</f>
        <v>77.936999999999998</v>
      </c>
      <c r="D46">
        <f>VLOOKUP($A46,$A$5:$H$32,4,FALSE)</f>
        <v>0</v>
      </c>
      <c r="E46">
        <f>VLOOKUP($A46,$A$5:$H$32,5,FALSE)</f>
        <v>0</v>
      </c>
      <c r="G46">
        <f>VLOOKUP($A46,$A$5:$H$32,7,FALSE)</f>
        <v>35.741</v>
      </c>
      <c r="H46">
        <f>VLOOKUP($A46,$A$5:$H$32,8,FALSE)</f>
        <v>0</v>
      </c>
      <c r="S46" t="s">
        <v>20</v>
      </c>
      <c r="T46" s="4">
        <f t="shared" si="3"/>
        <v>57</v>
      </c>
      <c r="U46" s="4">
        <f t="shared" si="4"/>
        <v>70</v>
      </c>
    </row>
    <row r="47" spans="1:21" x14ac:dyDescent="0.25">
      <c r="A47" s="2" t="s">
        <v>45</v>
      </c>
      <c r="C47" s="4" t="s">
        <v>22</v>
      </c>
      <c r="G47" s="4" t="s">
        <v>30</v>
      </c>
      <c r="S47" t="s">
        <v>21</v>
      </c>
      <c r="T47" s="4">
        <f t="shared" si="3"/>
        <v>64</v>
      </c>
      <c r="U47" s="4">
        <f t="shared" si="4"/>
        <v>78</v>
      </c>
    </row>
    <row r="48" spans="1:21" x14ac:dyDescent="0.25">
      <c r="A48" s="2" t="s">
        <v>10</v>
      </c>
      <c r="C48" s="4">
        <f>IF(NOT(ISBLANK(C47)),VLOOKUP(C47,$S$41:$U$70,3,FALSE),0)</f>
        <v>35</v>
      </c>
      <c r="D48" s="4">
        <f>IF(NOT(ISBLANK(D47)),VLOOKUP(D47,$S$41:$U$70,3,FALSE),0)</f>
        <v>0</v>
      </c>
      <c r="E48" s="4">
        <f>IF(NOT(ISBLANK(E47)),VLOOKUP(E47,$S$41:$U$70,3,FALSE),0)</f>
        <v>0</v>
      </c>
      <c r="G48" s="4">
        <f>IF(NOT(ISBLANK(G47)),VLOOKUP(G47,$S$41:$U$70,2,FALSE),0)</f>
        <v>81</v>
      </c>
      <c r="H48" s="4">
        <f>IF(NOT(ISBLANK(H47)),VLOOKUP(H47,$S$41:$U$70,2,FALSE),0)</f>
        <v>0</v>
      </c>
      <c r="S48" t="s">
        <v>22</v>
      </c>
      <c r="T48" s="4">
        <f t="shared" si="3"/>
        <v>25</v>
      </c>
      <c r="U48" s="4">
        <f t="shared" si="4"/>
        <v>35</v>
      </c>
    </row>
    <row r="49" spans="1:21" x14ac:dyDescent="0.25">
      <c r="A49" s="2" t="s">
        <v>9</v>
      </c>
      <c r="C49" s="6">
        <f>C48*C46</f>
        <v>2727.7950000000001</v>
      </c>
      <c r="D49" s="6">
        <f>D48*D46</f>
        <v>0</v>
      </c>
      <c r="E49" s="6">
        <f>E48*E46</f>
        <v>0</v>
      </c>
      <c r="F49" s="1"/>
      <c r="G49" s="6">
        <f>G46*G48</f>
        <v>2895.0210000000002</v>
      </c>
      <c r="H49" s="6">
        <f>H46*H48</f>
        <v>0</v>
      </c>
      <c r="I49" s="1"/>
      <c r="J49" s="1" t="str">
        <f>A46</f>
        <v>Sawmill</v>
      </c>
      <c r="K49" s="4">
        <f>SUM(G49:H49)-SUM(C49:E49)</f>
        <v>167.22600000000011</v>
      </c>
      <c r="L49" s="4">
        <f>SUM(G49:H49)/B46</f>
        <v>289.50210000000004</v>
      </c>
      <c r="M49" s="4">
        <f>K49/B46</f>
        <v>16.722600000000011</v>
      </c>
      <c r="N49" s="3">
        <f>K49/SUM(G49:H49)</f>
        <v>5.7763311561470576E-2</v>
      </c>
      <c r="O49" s="1"/>
      <c r="P49" s="4">
        <v>21764</v>
      </c>
      <c r="Q49" s="5">
        <f>P49/K49*B46</f>
        <v>1301.4722590984647</v>
      </c>
      <c r="S49" t="s">
        <v>23</v>
      </c>
      <c r="T49" s="4">
        <f t="shared" si="3"/>
        <v>77</v>
      </c>
      <c r="U49" s="4">
        <f t="shared" si="4"/>
        <v>92</v>
      </c>
    </row>
    <row r="50" spans="1:21" x14ac:dyDescent="0.25">
      <c r="S50" t="s">
        <v>24</v>
      </c>
      <c r="T50" s="4">
        <f t="shared" si="3"/>
        <v>3414</v>
      </c>
      <c r="U50" s="4">
        <f t="shared" si="4"/>
        <v>3781</v>
      </c>
    </row>
    <row r="51" spans="1:21" x14ac:dyDescent="0.25">
      <c r="A51" t="s">
        <v>90</v>
      </c>
      <c r="B51">
        <f>VLOOKUP($A51,$A$5:$H$32,2,FALSE)</f>
        <v>1</v>
      </c>
      <c r="C51">
        <f>VLOOKUP($A51,$A$5:$H$32,3,FALSE)</f>
        <v>0</v>
      </c>
      <c r="D51">
        <f>VLOOKUP($A51,$A$5:$H$32,4,FALSE)</f>
        <v>0</v>
      </c>
      <c r="E51">
        <f>VLOOKUP($A51,$A$5:$H$32,5,FALSE)</f>
        <v>0</v>
      </c>
      <c r="G51">
        <f>VLOOKUP($A51,$A$5:$H$32,7,FALSE)</f>
        <v>4.4279999999999999</v>
      </c>
      <c r="H51">
        <f>VLOOKUP($A51,$A$5:$H$32,8,FALSE)</f>
        <v>0</v>
      </c>
      <c r="S51" t="s">
        <v>25</v>
      </c>
      <c r="T51" s="4">
        <f t="shared" si="3"/>
        <v>111</v>
      </c>
      <c r="U51" s="4">
        <f t="shared" si="4"/>
        <v>130</v>
      </c>
    </row>
    <row r="52" spans="1:21" x14ac:dyDescent="0.25">
      <c r="A52" s="2" t="s">
        <v>45</v>
      </c>
      <c r="G52" s="4" t="s">
        <v>18</v>
      </c>
      <c r="S52" t="s">
        <v>26</v>
      </c>
      <c r="T52" s="4">
        <f t="shared" si="3"/>
        <v>12</v>
      </c>
      <c r="U52" s="4">
        <f t="shared" si="4"/>
        <v>21</v>
      </c>
    </row>
    <row r="53" spans="1:21" x14ac:dyDescent="0.25">
      <c r="A53" s="2" t="s">
        <v>10</v>
      </c>
      <c r="C53" s="4">
        <f>IF(NOT(ISBLANK(C52)),VLOOKUP(C52,$S$41:$U$70,3,FALSE),0)</f>
        <v>0</v>
      </c>
      <c r="D53" s="4">
        <f>IF(NOT(ISBLANK(D52)),VLOOKUP(D52,$S$41:$U$70,3,FALSE),0)</f>
        <v>0</v>
      </c>
      <c r="E53" s="4">
        <f>IF(NOT(ISBLANK(E52)),VLOOKUP(E52,$S$41:$U$70,3,FALSE),0)</f>
        <v>0</v>
      </c>
      <c r="G53" s="4">
        <f>IF(NOT(ISBLANK(G52)),VLOOKUP(G52,$S$41:$U$70,2,FALSE),0)</f>
        <v>24.5</v>
      </c>
      <c r="H53" s="4">
        <f>IF(NOT(ISBLANK(H52)),VLOOKUP(H52,$S$41:$U$70,2,FALSE),0)</f>
        <v>0</v>
      </c>
      <c r="S53" t="s">
        <v>27</v>
      </c>
      <c r="T53" s="4">
        <f t="shared" si="3"/>
        <v>163</v>
      </c>
      <c r="U53" s="4">
        <f t="shared" si="4"/>
        <v>187</v>
      </c>
    </row>
    <row r="54" spans="1:21" x14ac:dyDescent="0.25">
      <c r="A54" s="2" t="s">
        <v>9</v>
      </c>
      <c r="C54" s="6">
        <f>C53*C51</f>
        <v>0</v>
      </c>
      <c r="D54" s="6">
        <f>D53*D51</f>
        <v>0</v>
      </c>
      <c r="E54" s="6">
        <f>E53*E51</f>
        <v>0</v>
      </c>
      <c r="F54" s="1"/>
      <c r="G54" s="6">
        <f>G51*G53</f>
        <v>108.486</v>
      </c>
      <c r="H54" s="6">
        <f>H51*H53</f>
        <v>0</v>
      </c>
      <c r="I54" s="1"/>
      <c r="J54" s="1" t="str">
        <f>A51</f>
        <v>Farm</v>
      </c>
      <c r="K54" s="4">
        <f>SUM(G54:H54)-SUM(C54:E54)</f>
        <v>108.486</v>
      </c>
      <c r="L54" s="4">
        <f>SUM(G54:H54)/B51</f>
        <v>108.486</v>
      </c>
      <c r="M54" s="4">
        <f>K54/B51</f>
        <v>108.486</v>
      </c>
      <c r="N54" s="3">
        <f>K54/SUM(G54:H54)</f>
        <v>1</v>
      </c>
      <c r="O54" s="1"/>
      <c r="P54" s="4">
        <v>4157</v>
      </c>
      <c r="Q54" s="5">
        <f>P54/K54*B51</f>
        <v>38.318308353151558</v>
      </c>
      <c r="S54" t="s">
        <v>28</v>
      </c>
      <c r="T54" s="4">
        <f t="shared" si="3"/>
        <v>27</v>
      </c>
      <c r="U54" s="4">
        <f t="shared" si="4"/>
        <v>38</v>
      </c>
    </row>
    <row r="55" spans="1:21" x14ac:dyDescent="0.25">
      <c r="S55" t="s">
        <v>29</v>
      </c>
      <c r="T55" s="4">
        <f t="shared" si="3"/>
        <v>154</v>
      </c>
      <c r="U55" s="4">
        <f t="shared" si="4"/>
        <v>840</v>
      </c>
    </row>
    <row r="56" spans="1:21" x14ac:dyDescent="0.25">
      <c r="A56" t="s">
        <v>50</v>
      </c>
      <c r="B56">
        <f>VLOOKUP($A56,$A$5:$H$32,2,FALSE)</f>
        <v>176</v>
      </c>
      <c r="C56">
        <f>VLOOKUP($A56,$A$5:$H$32,3,FALSE)</f>
        <v>0</v>
      </c>
      <c r="D56">
        <f>VLOOKUP($A56,$A$5:$H$32,4,FALSE)</f>
        <v>0</v>
      </c>
      <c r="E56">
        <f>VLOOKUP($A56,$A$5:$H$32,5,FALSE)</f>
        <v>0</v>
      </c>
      <c r="G56">
        <f>VLOOKUP($A56,$A$5:$H$32,7,FALSE)</f>
        <v>495.47500000000002</v>
      </c>
      <c r="H56">
        <f>VLOOKUP($A56,$A$5:$H$32,8,FALSE)</f>
        <v>0</v>
      </c>
      <c r="S56" t="s">
        <v>30</v>
      </c>
      <c r="T56" s="4">
        <f t="shared" si="3"/>
        <v>81</v>
      </c>
      <c r="U56" s="4">
        <f t="shared" si="4"/>
        <v>97</v>
      </c>
    </row>
    <row r="57" spans="1:21" x14ac:dyDescent="0.25">
      <c r="A57" s="2" t="s">
        <v>45</v>
      </c>
      <c r="G57" s="4" t="s">
        <v>28</v>
      </c>
      <c r="S57" t="s">
        <v>31</v>
      </c>
      <c r="T57" s="4">
        <f t="shared" si="3"/>
        <v>434</v>
      </c>
      <c r="U57" s="4">
        <f t="shared" si="4"/>
        <v>487</v>
      </c>
    </row>
    <row r="58" spans="1:21" x14ac:dyDescent="0.25">
      <c r="A58" s="2" t="s">
        <v>10</v>
      </c>
      <c r="C58" s="4">
        <f>IF(NOT(ISBLANK(C57)),VLOOKUP(C57,$S$41:$U$70,3,FALSE),0)</f>
        <v>0</v>
      </c>
      <c r="D58" s="4">
        <f>IF(NOT(ISBLANK(D57)),VLOOKUP(D57,$S$41:$U$70,3,FALSE),0)</f>
        <v>0</v>
      </c>
      <c r="E58" s="4">
        <f>IF(NOT(ISBLANK(E57)),VLOOKUP(E57,$S$41:$U$70,3,FALSE),0)</f>
        <v>0</v>
      </c>
      <c r="G58" s="4">
        <f>IF(NOT(ISBLANK(G57)),VLOOKUP(G57,$S$41:$U$70,2,FALSE),0)</f>
        <v>27</v>
      </c>
      <c r="H58" s="4">
        <f>IF(NOT(ISBLANK(H57)),VLOOKUP(H57,$S$41:$U$70,2,FALSE),0)</f>
        <v>0</v>
      </c>
      <c r="S58" t="s">
        <v>32</v>
      </c>
      <c r="T58" s="4">
        <f t="shared" si="3"/>
        <v>998</v>
      </c>
      <c r="U58" s="4">
        <f t="shared" si="4"/>
        <v>1111</v>
      </c>
    </row>
    <row r="59" spans="1:21" x14ac:dyDescent="0.25">
      <c r="A59" s="2" t="s">
        <v>9</v>
      </c>
      <c r="C59" s="6">
        <f>C58*C56</f>
        <v>0</v>
      </c>
      <c r="D59" s="6">
        <f>D58*D56</f>
        <v>0</v>
      </c>
      <c r="E59" s="6">
        <f>E58*E56</f>
        <v>0</v>
      </c>
      <c r="F59" s="1"/>
      <c r="G59" s="6">
        <f>G56*G58</f>
        <v>13377.825000000001</v>
      </c>
      <c r="H59" s="6">
        <f>H56*H58</f>
        <v>0</v>
      </c>
      <c r="I59" s="1"/>
      <c r="J59" s="1" t="str">
        <f>A56</f>
        <v>Iron Mine</v>
      </c>
      <c r="K59" s="4">
        <f>SUM(G59:H59)-SUM(C59:E59)</f>
        <v>13377.825000000001</v>
      </c>
      <c r="L59" s="4">
        <f>SUM(G59:H59)/B56</f>
        <v>76.010369318181816</v>
      </c>
      <c r="M59" s="4">
        <f>K59/B56</f>
        <v>76.010369318181816</v>
      </c>
      <c r="N59" s="3">
        <f>K59/SUM(G59:H59)</f>
        <v>1</v>
      </c>
      <c r="O59" s="1"/>
      <c r="P59" s="4">
        <v>85018</v>
      </c>
      <c r="Q59" s="5">
        <f>P59/K59*B56</f>
        <v>1118.5052876682121</v>
      </c>
      <c r="S59" t="s">
        <v>33</v>
      </c>
      <c r="T59" s="4">
        <f t="shared" si="3"/>
        <v>980</v>
      </c>
      <c r="U59" s="4">
        <f t="shared" si="4"/>
        <v>1091</v>
      </c>
    </row>
    <row r="60" spans="1:21" x14ac:dyDescent="0.25">
      <c r="S60" t="s">
        <v>34</v>
      </c>
      <c r="T60" s="4">
        <f t="shared" si="3"/>
        <v>81</v>
      </c>
      <c r="U60" s="4">
        <f t="shared" si="4"/>
        <v>97</v>
      </c>
    </row>
    <row r="61" spans="1:21" x14ac:dyDescent="0.25">
      <c r="A61" t="s">
        <v>51</v>
      </c>
      <c r="B61">
        <f>VLOOKUP($A61,$A$5:$H$32,2,FALSE)</f>
        <v>11</v>
      </c>
      <c r="C61">
        <f>VLOOKUP($A61,$A$5:$H$32,3,FALSE)</f>
        <v>168.26900000000001</v>
      </c>
      <c r="D61">
        <f>VLOOKUP($A61,$A$5:$H$32,4,FALSE)</f>
        <v>0</v>
      </c>
      <c r="E61">
        <f>VLOOKUP($A61,$A$5:$H$32,5,FALSE)</f>
        <v>0</v>
      </c>
      <c r="G61">
        <f>VLOOKUP($A61,$A$5:$H$32,7,FALSE)</f>
        <v>55.167000000000002</v>
      </c>
      <c r="H61">
        <f>VLOOKUP($A61,$A$5:$H$32,8,FALSE)</f>
        <v>0</v>
      </c>
      <c r="S61" t="s">
        <v>35</v>
      </c>
      <c r="T61" s="4">
        <f t="shared" si="3"/>
        <v>350</v>
      </c>
      <c r="U61" s="4">
        <f t="shared" si="4"/>
        <v>394</v>
      </c>
    </row>
    <row r="62" spans="1:21" x14ac:dyDescent="0.25">
      <c r="A62" s="2" t="s">
        <v>45</v>
      </c>
      <c r="C62" s="4" t="s">
        <v>28</v>
      </c>
      <c r="G62" s="4" t="s">
        <v>27</v>
      </c>
      <c r="S62" t="s">
        <v>36</v>
      </c>
      <c r="T62" s="4">
        <f t="shared" si="3"/>
        <v>13851</v>
      </c>
      <c r="U62" s="4">
        <f t="shared" si="4"/>
        <v>15316</v>
      </c>
    </row>
    <row r="63" spans="1:21" x14ac:dyDescent="0.25">
      <c r="A63" s="2" t="s">
        <v>10</v>
      </c>
      <c r="C63" s="4">
        <f>IF(NOT(ISBLANK(C62)),VLOOKUP(C62,$S$41:$U$70,3,FALSE),0)</f>
        <v>38</v>
      </c>
      <c r="D63" s="4">
        <f>IF(NOT(ISBLANK(D62)),VLOOKUP(D62,$S$41:$U$70,3,FALSE),0)</f>
        <v>0</v>
      </c>
      <c r="E63" s="4">
        <f>IF(NOT(ISBLANK(E62)),VLOOKUP(E62,$S$41:$U$70,3,FALSE),0)</f>
        <v>0</v>
      </c>
      <c r="G63" s="4">
        <f>IF(NOT(ISBLANK(G62)),VLOOKUP(G62,$S$41:$U$70,2,FALSE),0)</f>
        <v>163</v>
      </c>
      <c r="H63" s="4">
        <f>IF(NOT(ISBLANK(H62)),VLOOKUP(H62,$S$41:$U$70,2,FALSE),0)</f>
        <v>0</v>
      </c>
      <c r="S63" t="s">
        <v>37</v>
      </c>
      <c r="T63" s="4">
        <f t="shared" si="3"/>
        <v>662</v>
      </c>
      <c r="U63" s="4">
        <f t="shared" si="4"/>
        <v>779</v>
      </c>
    </row>
    <row r="64" spans="1:21" x14ac:dyDescent="0.25">
      <c r="A64" s="2" t="s">
        <v>9</v>
      </c>
      <c r="C64" s="6">
        <f>C63*C61</f>
        <v>6394.2219999999998</v>
      </c>
      <c r="D64" s="6">
        <f>D63*D61</f>
        <v>0</v>
      </c>
      <c r="E64" s="6">
        <f>E63*E61</f>
        <v>0</v>
      </c>
      <c r="F64" s="1"/>
      <c r="G64" s="6">
        <f>G61*G63</f>
        <v>8992.2209999999995</v>
      </c>
      <c r="H64" s="6">
        <f>H61*H63</f>
        <v>0</v>
      </c>
      <c r="I64" s="1"/>
      <c r="J64" s="1" t="str">
        <f>A61</f>
        <v>Iron Processing</v>
      </c>
      <c r="K64" s="4">
        <f>SUM(G64:H64)-SUM(C64:E64)</f>
        <v>2597.9989999999998</v>
      </c>
      <c r="L64" s="4">
        <f>SUM(G64:H64)/B61</f>
        <v>817.47463636363636</v>
      </c>
      <c r="M64" s="4">
        <f>K64/B61</f>
        <v>236.18172727272724</v>
      </c>
      <c r="N64" s="3">
        <f>K64/SUM(G64:H64)</f>
        <v>0.28891627552303262</v>
      </c>
      <c r="O64" s="1"/>
      <c r="P64" s="4">
        <v>146810</v>
      </c>
      <c r="Q64" s="5">
        <f>P64/K64*B61</f>
        <v>621.59762186205614</v>
      </c>
      <c r="S64" t="s">
        <v>38</v>
      </c>
      <c r="T64" s="4">
        <f t="shared" si="3"/>
        <v>618</v>
      </c>
      <c r="U64" s="4">
        <f t="shared" si="4"/>
        <v>690</v>
      </c>
    </row>
    <row r="65" spans="1:22" x14ac:dyDescent="0.25">
      <c r="S65" t="s">
        <v>39</v>
      </c>
      <c r="T65" s="4">
        <f t="shared" si="3"/>
        <v>72</v>
      </c>
      <c r="U65" s="4">
        <f t="shared" si="4"/>
        <v>86</v>
      </c>
    </row>
    <row r="66" spans="1:22" x14ac:dyDescent="0.25">
      <c r="A66" t="s">
        <v>53</v>
      </c>
      <c r="B66">
        <f>VLOOKUP($A66,$A$5:$H$32,2,FALSE)</f>
        <v>452</v>
      </c>
      <c r="C66">
        <f>VLOOKUP($A66,$A$5:$H$32,3,FALSE)</f>
        <v>327.733</v>
      </c>
      <c r="D66">
        <f>VLOOKUP($A66,$A$5:$H$32,4,FALSE)</f>
        <v>181.73699999999999</v>
      </c>
      <c r="E66">
        <f>VLOOKUP($A66,$A$5:$H$32,5,FALSE)</f>
        <v>0</v>
      </c>
      <c r="G66">
        <f>VLOOKUP($A66,$A$5:$H$32,7,FALSE)</f>
        <v>17.292999999999999</v>
      </c>
      <c r="H66">
        <f>VLOOKUP($A66,$A$5:$H$32,8,FALSE)</f>
        <v>0</v>
      </c>
      <c r="S66" t="s">
        <v>40</v>
      </c>
      <c r="T66" s="4">
        <f t="shared" si="3"/>
        <v>22</v>
      </c>
      <c r="U66" s="4">
        <f t="shared" si="4"/>
        <v>31</v>
      </c>
    </row>
    <row r="67" spans="1:22" x14ac:dyDescent="0.25">
      <c r="A67" s="2" t="s">
        <v>45</v>
      </c>
      <c r="C67" s="4" t="s">
        <v>25</v>
      </c>
      <c r="D67" s="4" t="s">
        <v>27</v>
      </c>
      <c r="E67" s="4" t="s">
        <v>15</v>
      </c>
      <c r="G67" s="4" t="s">
        <v>19</v>
      </c>
      <c r="S67" t="s">
        <v>41</v>
      </c>
      <c r="T67" s="4">
        <f t="shared" si="3"/>
        <v>2778</v>
      </c>
      <c r="U67" s="4">
        <f t="shared" si="4"/>
        <v>3077</v>
      </c>
    </row>
    <row r="68" spans="1:22" x14ac:dyDescent="0.25">
      <c r="A68" s="2" t="s">
        <v>10</v>
      </c>
      <c r="C68" s="4">
        <f>IF(NOT(ISBLANK(C67)),VLOOKUP(C67,$S$41:$U$70,3,FALSE),0)</f>
        <v>130</v>
      </c>
      <c r="D68" s="4">
        <f>IF(NOT(ISBLANK(D67)),VLOOKUP(D67,$S$41:$U$70,3,FALSE),0)</f>
        <v>187</v>
      </c>
      <c r="E68" s="4">
        <f>IF(NOT(ISBLANK(E67)),VLOOKUP(E67,$S$41:$U$70,3,FALSE),0)</f>
        <v>7.8</v>
      </c>
      <c r="G68" s="4">
        <f>IF(NOT(ISBLANK(G67)),VLOOKUP(G67,$S$41:$U$70,2,FALSE),0)</f>
        <v>2243</v>
      </c>
      <c r="H68" s="4">
        <f>IF(NOT(ISBLANK(H67)),VLOOKUP(H67,$S$41:$U$70,2,FALSE),0)</f>
        <v>0</v>
      </c>
      <c r="S68" t="s">
        <v>42</v>
      </c>
      <c r="T68" s="4">
        <f t="shared" si="3"/>
        <v>3427</v>
      </c>
      <c r="U68" s="4">
        <f t="shared" si="4"/>
        <v>3795</v>
      </c>
    </row>
    <row r="69" spans="1:22" x14ac:dyDescent="0.25">
      <c r="A69" s="2" t="s">
        <v>9</v>
      </c>
      <c r="C69" s="6">
        <f>C68*C66</f>
        <v>42605.29</v>
      </c>
      <c r="D69" s="6">
        <f>D68*D66</f>
        <v>33984.818999999996</v>
      </c>
      <c r="E69" s="6">
        <f>E68*E66</f>
        <v>0</v>
      </c>
      <c r="F69" s="1"/>
      <c r="G69" s="6">
        <f>G66*G68</f>
        <v>38788.199000000001</v>
      </c>
      <c r="H69" s="6">
        <f>H66*H68</f>
        <v>0</v>
      </c>
      <c r="I69" s="1"/>
      <c r="J69" s="1" t="str">
        <f>A66</f>
        <v>Steel Mill</v>
      </c>
      <c r="K69" s="4">
        <f>SUM(G69:H69)-SUM(C69:E69)</f>
        <v>-37801.909999999996</v>
      </c>
      <c r="L69" s="4">
        <f>SUM(G69:H69)/B66</f>
        <v>85.814599557522129</v>
      </c>
      <c r="M69" s="4">
        <f>K69/B66</f>
        <v>-83.632544247787607</v>
      </c>
      <c r="N69" s="3">
        <f>K69/SUM(G69:H69)</f>
        <v>-0.9745724466351221</v>
      </c>
      <c r="O69" s="1"/>
      <c r="P69" s="4">
        <v>257030</v>
      </c>
      <c r="Q69" s="5">
        <f>P69/K69*B66</f>
        <v>-3073.3251309259244</v>
      </c>
      <c r="S69" t="s">
        <v>43</v>
      </c>
      <c r="T69" s="4">
        <f t="shared" si="3"/>
        <v>1321</v>
      </c>
      <c r="U69" s="4">
        <f t="shared" si="4"/>
        <v>1467</v>
      </c>
      <c r="V69" s="5"/>
    </row>
    <row r="70" spans="1:22" x14ac:dyDescent="0.25">
      <c r="S70" t="s">
        <v>44</v>
      </c>
      <c r="T70" s="4">
        <f t="shared" si="3"/>
        <v>3152</v>
      </c>
      <c r="U70" s="4">
        <f t="shared" si="4"/>
        <v>3492</v>
      </c>
      <c r="V70" s="5"/>
    </row>
    <row r="71" spans="1:22" x14ac:dyDescent="0.25">
      <c r="A71" t="s">
        <v>54</v>
      </c>
      <c r="B71">
        <f>VLOOKUP($A71,$A$5:$H$32,2,FALSE)</f>
        <v>192</v>
      </c>
      <c r="C71">
        <f>VLOOKUP($A71,$A$5:$H$32,3,FALSE)</f>
        <v>0</v>
      </c>
      <c r="D71">
        <f>VLOOKUP($A71,$A$5:$H$32,4,FALSE)</f>
        <v>0</v>
      </c>
      <c r="E71">
        <f>VLOOKUP($A71,$A$5:$H$32,5,FALSE)</f>
        <v>0</v>
      </c>
      <c r="G71">
        <f>VLOOKUP($A71,$A$5:$H$32,7,FALSE)</f>
        <v>483.90600000000001</v>
      </c>
      <c r="H71">
        <f>VLOOKUP($A71,$A$5:$H$32,8,FALSE)</f>
        <v>0</v>
      </c>
    </row>
    <row r="72" spans="1:22" x14ac:dyDescent="0.25">
      <c r="A72" s="2" t="s">
        <v>45</v>
      </c>
      <c r="G72" s="4" t="s">
        <v>56</v>
      </c>
    </row>
    <row r="73" spans="1:22" x14ac:dyDescent="0.25">
      <c r="A73" s="2" t="s">
        <v>10</v>
      </c>
      <c r="C73" s="4">
        <f>IF(NOT(ISBLANK(C72)),VLOOKUP(C72,$S$41:$U$70,3,FALSE),0)</f>
        <v>0</v>
      </c>
      <c r="D73" s="4">
        <f>IF(NOT(ISBLANK(D72)),VLOOKUP(D72,$S$41:$U$70,3,FALSE),0)</f>
        <v>0</v>
      </c>
      <c r="E73" s="4">
        <f>IF(NOT(ISBLANK(E72)),VLOOKUP(E72,$S$41:$U$70,3,FALSE),0)</f>
        <v>0</v>
      </c>
      <c r="G73" s="4">
        <f>IF(NOT(ISBLANK(G72)),VLOOKUP(G72,$S$41:$U$70,2,FALSE),0)</f>
        <v>12</v>
      </c>
      <c r="H73" s="4">
        <f>IF(NOT(ISBLANK(H72)),VLOOKUP(H72,$S$41:$U$70,2,FALSE),0)</f>
        <v>0</v>
      </c>
    </row>
    <row r="74" spans="1:22" x14ac:dyDescent="0.25">
      <c r="A74" s="2" t="s">
        <v>9</v>
      </c>
      <c r="C74" s="6">
        <f>C73*C71</f>
        <v>0</v>
      </c>
      <c r="D74" s="6">
        <f>D73*D71</f>
        <v>0</v>
      </c>
      <c r="E74" s="6">
        <f>E73*E71</f>
        <v>0</v>
      </c>
      <c r="F74" s="1"/>
      <c r="G74" s="6">
        <f>G71*G73</f>
        <v>5806.8720000000003</v>
      </c>
      <c r="H74" s="6">
        <f>H71*H73</f>
        <v>0</v>
      </c>
      <c r="I74" s="1"/>
      <c r="J74" s="1" t="str">
        <f>A71</f>
        <v>Coal Mine</v>
      </c>
      <c r="K74" s="4">
        <f>SUM(G74:H74)-SUM(C74:E74)</f>
        <v>5806.8720000000003</v>
      </c>
      <c r="L74" s="4">
        <f>SUM(G74:H74)/B71</f>
        <v>30.244125</v>
      </c>
      <c r="M74" s="4">
        <f>K74/B71</f>
        <v>30.244125</v>
      </c>
      <c r="N74" s="3">
        <f>K74/SUM(G74:H74)</f>
        <v>1</v>
      </c>
      <c r="O74" s="1"/>
      <c r="P74" s="4">
        <v>84568</v>
      </c>
      <c r="Q74" s="5">
        <f>P74/K74*B71</f>
        <v>2796.1794232764214</v>
      </c>
    </row>
    <row r="76" spans="1:22" x14ac:dyDescent="0.25">
      <c r="A76" t="s">
        <v>55</v>
      </c>
      <c r="B76">
        <f>VLOOKUP($A76,$A$5:$H$32,2,FALSE)</f>
        <v>21</v>
      </c>
      <c r="C76">
        <f>VLOOKUP($A76,$A$5:$H$32,3,FALSE)</f>
        <v>164.72</v>
      </c>
      <c r="D76">
        <f>VLOOKUP($A76,$A$5:$H$32,4,FALSE)</f>
        <v>0</v>
      </c>
      <c r="E76">
        <f>VLOOKUP($A76,$A$5:$H$32,5,FALSE)</f>
        <v>0</v>
      </c>
      <c r="G76">
        <f>VLOOKUP($A76,$A$5:$H$32,7,FALSE)</f>
        <v>46.658000000000001</v>
      </c>
      <c r="H76">
        <f>VLOOKUP($A76,$A$5:$H$32,8,FALSE)</f>
        <v>0</v>
      </c>
    </row>
    <row r="77" spans="1:22" x14ac:dyDescent="0.25">
      <c r="A77" s="2" t="s">
        <v>45</v>
      </c>
      <c r="C77" s="4" t="s">
        <v>56</v>
      </c>
      <c r="G77" s="4" t="s">
        <v>25</v>
      </c>
    </row>
    <row r="78" spans="1:22" x14ac:dyDescent="0.25">
      <c r="A78" s="2" t="s">
        <v>10</v>
      </c>
      <c r="C78" s="4">
        <f>IF(NOT(ISBLANK(C77)),VLOOKUP(C77,$S$41:$U$70,3,FALSE),0)</f>
        <v>21</v>
      </c>
      <c r="D78" s="4">
        <f>IF(NOT(ISBLANK(D77)),VLOOKUP(D77,$S$41:$U$70,3,FALSE),0)</f>
        <v>0</v>
      </c>
      <c r="E78" s="4">
        <f>IF(NOT(ISBLANK(E77)),VLOOKUP(E77,$S$41:$U$70,3,FALSE),0)</f>
        <v>0</v>
      </c>
      <c r="G78" s="4">
        <f>IF(NOT(ISBLANK(G77)),VLOOKUP(G77,$S$41:$U$70,2,FALSE),0)</f>
        <v>111</v>
      </c>
      <c r="H78" s="4">
        <f>IF(NOT(ISBLANK(H77)),VLOOKUP(H77,$S$41:$U$70,2,FALSE),0)</f>
        <v>0</v>
      </c>
    </row>
    <row r="79" spans="1:22" x14ac:dyDescent="0.25">
      <c r="A79" s="2" t="s">
        <v>9</v>
      </c>
      <c r="C79" s="6">
        <f>C78*C76</f>
        <v>3459.12</v>
      </c>
      <c r="D79" s="6">
        <f>D78*D76</f>
        <v>0</v>
      </c>
      <c r="E79" s="6">
        <f>E78*E76</f>
        <v>0</v>
      </c>
      <c r="F79" s="1"/>
      <c r="G79" s="6">
        <f>G76*G78</f>
        <v>5179.0380000000005</v>
      </c>
      <c r="H79" s="6">
        <f>H76*H78</f>
        <v>0</v>
      </c>
      <c r="I79" s="1"/>
      <c r="J79" s="1" t="str">
        <f>A76</f>
        <v>Coal Processing</v>
      </c>
      <c r="K79" s="4">
        <f>SUM(G79:H79)-SUM(C79:E79)</f>
        <v>1719.9180000000006</v>
      </c>
      <c r="L79" s="4">
        <f>SUM(G79:H79)/B76</f>
        <v>246.62085714285718</v>
      </c>
      <c r="M79" s="4">
        <f>K79/B76</f>
        <v>81.900857142857177</v>
      </c>
      <c r="N79" s="3">
        <f>K79/SUM(G79:H79)</f>
        <v>0.33209217619179476</v>
      </c>
      <c r="O79" s="1"/>
      <c r="P79" s="4">
        <v>146810</v>
      </c>
      <c r="Q79" s="5">
        <f>P79/K79*B76</f>
        <v>1792.5331323935204</v>
      </c>
    </row>
    <row r="81" spans="1:17" x14ac:dyDescent="0.25">
      <c r="A81" t="s">
        <v>57</v>
      </c>
      <c r="B81">
        <f>VLOOKUP($A81,$A$5:$H$32,2,FALSE)</f>
        <v>98</v>
      </c>
      <c r="C81">
        <f>VLOOKUP($A81,$A$5:$H$32,3,FALSE)</f>
        <v>44.600999999999999</v>
      </c>
      <c r="D81">
        <f>VLOOKUP($A81,$A$5:$H$32,4,FALSE)</f>
        <v>0</v>
      </c>
      <c r="E81">
        <f>VLOOKUP($A81,$A$5:$H$32,5,FALSE)</f>
        <v>0</v>
      </c>
      <c r="G81">
        <f>VLOOKUP($A81,$A$5:$H$32,7,FALSE)</f>
        <v>58.566000000000003</v>
      </c>
      <c r="H81">
        <f>VLOOKUP($A81,$A$5:$H$32,8,FALSE)</f>
        <v>0</v>
      </c>
    </row>
    <row r="82" spans="1:17" x14ac:dyDescent="0.25">
      <c r="A82" s="2" t="s">
        <v>45</v>
      </c>
      <c r="C82" s="4" t="s">
        <v>25</v>
      </c>
      <c r="G82" s="4" t="s">
        <v>21</v>
      </c>
    </row>
    <row r="83" spans="1:17" x14ac:dyDescent="0.25">
      <c r="A83" s="2" t="s">
        <v>10</v>
      </c>
      <c r="C83" s="4">
        <f>IF(NOT(ISBLANK(C82)),VLOOKUP(C82,$S$41:$U$70,3,FALSE),0)</f>
        <v>130</v>
      </c>
      <c r="D83" s="4">
        <f>IF(NOT(ISBLANK(D82)),VLOOKUP(D82,$S$41:$U$70,3,FALSE),0)</f>
        <v>0</v>
      </c>
      <c r="E83" s="4">
        <f>IF(NOT(ISBLANK(E82)),VLOOKUP(E82,$S$41:$U$70,3,FALSE),0)</f>
        <v>0</v>
      </c>
      <c r="G83" s="4">
        <f>IF(NOT(ISBLANK(G82)),VLOOKUP(G82,$S$41:$U$70,2,FALSE),0)</f>
        <v>64</v>
      </c>
      <c r="H83" s="4">
        <f>IF(NOT(ISBLANK(H82)),VLOOKUP(H82,$S$41:$U$70,2,FALSE),0)</f>
        <v>0</v>
      </c>
    </row>
    <row r="84" spans="1:17" x14ac:dyDescent="0.25">
      <c r="A84" s="2" t="s">
        <v>9</v>
      </c>
      <c r="C84" s="6">
        <f>C83*C81</f>
        <v>5798.13</v>
      </c>
      <c r="D84" s="6">
        <f>D83*D81</f>
        <v>0</v>
      </c>
      <c r="E84" s="6">
        <f>E83*E81</f>
        <v>0</v>
      </c>
      <c r="F84" s="1"/>
      <c r="G84" s="6">
        <f>G81*G83</f>
        <v>3748.2240000000002</v>
      </c>
      <c r="H84" s="6">
        <f>H81*H83</f>
        <v>0</v>
      </c>
      <c r="I84" s="1"/>
      <c r="J84" s="1" t="str">
        <f>A81</f>
        <v>Brick Factory</v>
      </c>
      <c r="K84" s="4">
        <f>SUM(G84:H84)-SUM(C84:E84)</f>
        <v>-2049.9059999999999</v>
      </c>
      <c r="L84" s="4">
        <f>SUM(G84:H84)/B81</f>
        <v>38.247183673469387</v>
      </c>
      <c r="M84" s="4">
        <f>K84/B81</f>
        <v>-20.917408163265307</v>
      </c>
      <c r="N84" s="3">
        <f>K84/SUM(G84:H84)</f>
        <v>-0.54690061212990471</v>
      </c>
      <c r="O84" s="1"/>
      <c r="P84" s="4">
        <v>56668</v>
      </c>
      <c r="Q84" s="5">
        <f>P84/K84*B81</f>
        <v>-2709.1310528385206</v>
      </c>
    </row>
    <row r="86" spans="1:17" x14ac:dyDescent="0.25">
      <c r="A86" t="s">
        <v>84</v>
      </c>
      <c r="B86">
        <f>VLOOKUP($A86,$A$5:$H$32,2,FALSE)</f>
        <v>24</v>
      </c>
      <c r="C86">
        <f>VLOOKUP($A86,$A$5:$H$32,3,FALSE)</f>
        <v>11.744999999999999</v>
      </c>
      <c r="D86">
        <f>VLOOKUP($A86,$A$5:$H$32,4,FALSE)</f>
        <v>0</v>
      </c>
      <c r="E86">
        <f>VLOOKUP($A86,$A$5:$H$32,5,FALSE)</f>
        <v>0</v>
      </c>
      <c r="G86">
        <f>VLOOKUP($A86,$A$5:$H$32,7,FALSE)</f>
        <v>551.822</v>
      </c>
      <c r="H86">
        <f>VLOOKUP($A86,$A$5:$H$32,8,FALSE)</f>
        <v>0</v>
      </c>
    </row>
    <row r="87" spans="1:17" x14ac:dyDescent="0.25">
      <c r="A87" s="2" t="s">
        <v>45</v>
      </c>
      <c r="C87" s="4" t="s">
        <v>25</v>
      </c>
      <c r="G87" s="4" t="s">
        <v>15</v>
      </c>
    </row>
    <row r="88" spans="1:17" x14ac:dyDescent="0.25">
      <c r="A88" s="2" t="s">
        <v>10</v>
      </c>
      <c r="C88" s="4">
        <f>IF(NOT(ISBLANK(C87)),VLOOKUP(C87,$S$41:$U$70,3,FALSE),0)</f>
        <v>130</v>
      </c>
      <c r="D88" s="4">
        <f>IF(NOT(ISBLANK(D87)),VLOOKUP(D87,$S$41:$U$70,3,FALSE),0)</f>
        <v>0</v>
      </c>
      <c r="E88" s="4">
        <f>IF(NOT(ISBLANK(E87)),VLOOKUP(E87,$S$41:$U$70,3,FALSE),0)</f>
        <v>0</v>
      </c>
      <c r="G88" s="4">
        <f>IF(NOT(ISBLANK(G87)),VLOOKUP(G87,$S$41:$U$70,2,FALSE),0)</f>
        <v>7</v>
      </c>
      <c r="H88" s="4">
        <f>IF(NOT(ISBLANK(H87)),VLOOKUP(H87,$S$41:$U$70,2,FALSE),0)</f>
        <v>0</v>
      </c>
    </row>
    <row r="89" spans="1:17" x14ac:dyDescent="0.25">
      <c r="A89" s="2" t="s">
        <v>9</v>
      </c>
      <c r="C89" s="6">
        <f>C88*C86</f>
        <v>1526.85</v>
      </c>
      <c r="D89" s="6">
        <f>D88*D86</f>
        <v>0</v>
      </c>
      <c r="E89" s="6">
        <f>E88*E86</f>
        <v>0</v>
      </c>
      <c r="F89" s="1"/>
      <c r="G89" s="6">
        <f>G86*G88</f>
        <v>3862.7539999999999</v>
      </c>
      <c r="H89" s="6">
        <f>H86*H88</f>
        <v>0</v>
      </c>
      <c r="I89" s="1"/>
      <c r="J89" s="1" t="str">
        <f>A86</f>
        <v>Coal Power Plant</v>
      </c>
      <c r="K89" s="4">
        <f>SUM(G89:H89)-SUM(C89:E89)</f>
        <v>2335.904</v>
      </c>
      <c r="L89" s="4">
        <f>SUM(G89:H89)/B86</f>
        <v>160.94808333333333</v>
      </c>
      <c r="M89" s="4">
        <f>K89/B86</f>
        <v>97.329333333333338</v>
      </c>
      <c r="N89" s="3">
        <f>K89/SUM(G89:H89)</f>
        <v>0.60472502261339967</v>
      </c>
      <c r="O89" s="1"/>
      <c r="P89" s="4">
        <v>252962</v>
      </c>
      <c r="Q89" s="5">
        <f>P89/K89*B86</f>
        <v>2599.0314670465909</v>
      </c>
    </row>
    <row r="91" spans="1:17" x14ac:dyDescent="0.25">
      <c r="A91" t="s">
        <v>59</v>
      </c>
      <c r="B91">
        <f>VLOOKUP($A91,$A$5:$H$32,2,FALSE)</f>
        <v>39</v>
      </c>
      <c r="C91">
        <f>VLOOKUP($A91,$A$5:$H$32,3,FALSE)</f>
        <v>0</v>
      </c>
      <c r="D91">
        <f>VLOOKUP($A91,$A$5:$H$32,4,FALSE)</f>
        <v>0</v>
      </c>
      <c r="E91">
        <f>VLOOKUP($A91,$A$5:$H$32,5,FALSE)</f>
        <v>0</v>
      </c>
      <c r="G91">
        <f>VLOOKUP($A91,$A$5:$H$32,7,FALSE)</f>
        <v>141.39400000000001</v>
      </c>
      <c r="H91">
        <f>VLOOKUP($A91,$A$5:$H$32,8,FALSE)</f>
        <v>0</v>
      </c>
    </row>
    <row r="92" spans="1:17" x14ac:dyDescent="0.25">
      <c r="A92" s="2" t="s">
        <v>45</v>
      </c>
      <c r="G92" s="4" t="s">
        <v>17</v>
      </c>
    </row>
    <row r="93" spans="1:17" x14ac:dyDescent="0.25">
      <c r="A93" s="2" t="s">
        <v>10</v>
      </c>
      <c r="C93" s="4">
        <f>IF(NOT(ISBLANK(C92)),VLOOKUP(C92,$S$41:$U$70,3,FALSE),0)</f>
        <v>0</v>
      </c>
      <c r="D93" s="4">
        <f>IF(NOT(ISBLANK(D92)),VLOOKUP(D92,$S$41:$U$70,3,FALSE),0)</f>
        <v>0</v>
      </c>
      <c r="E93" s="4">
        <f>IF(NOT(ISBLANK(E92)),VLOOKUP(E92,$S$41:$U$70,3,FALSE),0)</f>
        <v>0</v>
      </c>
      <c r="G93" s="4">
        <f>IF(NOT(ISBLANK(G92)),VLOOKUP(G92,$S$41:$U$70,2,FALSE),0)</f>
        <v>6.6999999999999993</v>
      </c>
      <c r="H93" s="4">
        <f>IF(NOT(ISBLANK(H92)),VLOOKUP(H92,$S$41:$U$70,2,FALSE),0)</f>
        <v>0</v>
      </c>
    </row>
    <row r="94" spans="1:17" x14ac:dyDescent="0.25">
      <c r="A94" s="2" t="s">
        <v>9</v>
      </c>
      <c r="C94" s="6">
        <f>C93*C91</f>
        <v>0</v>
      </c>
      <c r="D94" s="6">
        <f>D93*D91</f>
        <v>0</v>
      </c>
      <c r="E94" s="6">
        <f>E93*E91</f>
        <v>0</v>
      </c>
      <c r="F94" s="1"/>
      <c r="G94" s="6">
        <f>G91*G93</f>
        <v>947.33979999999997</v>
      </c>
      <c r="H94" s="6">
        <f>H91*H93</f>
        <v>0</v>
      </c>
      <c r="I94" s="1"/>
      <c r="J94" s="1" t="str">
        <f>A91</f>
        <v>Quarry</v>
      </c>
      <c r="K94" s="4">
        <f>SUM(G94:H94)-SUM(C94:E94)</f>
        <v>947.33979999999997</v>
      </c>
      <c r="L94" s="4">
        <f>SUM(G94:H94)/B91</f>
        <v>24.290764102564101</v>
      </c>
      <c r="M94" s="4">
        <f>K94/B91</f>
        <v>24.290764102564101</v>
      </c>
      <c r="N94" s="3">
        <f>K94/SUM(G94:H94)</f>
        <v>1</v>
      </c>
      <c r="O94" s="1"/>
      <c r="P94" s="4">
        <v>1641</v>
      </c>
      <c r="Q94" s="5">
        <f>P94/K94*B91</f>
        <v>67.556540958165172</v>
      </c>
    </row>
    <row r="96" spans="1:17" x14ac:dyDescent="0.25">
      <c r="A96" t="s">
        <v>85</v>
      </c>
      <c r="B96">
        <f>VLOOKUP($A96,$A$5:$H$32,2,FALSE)</f>
        <v>15</v>
      </c>
      <c r="C96">
        <f>VLOOKUP($A96,$A$5:$H$32,3,FALSE)</f>
        <v>129.5</v>
      </c>
      <c r="D96">
        <f>VLOOKUP($A96,$A$5:$H$32,4,FALSE)</f>
        <v>0</v>
      </c>
      <c r="E96">
        <f>VLOOKUP($A96,$A$5:$H$32,5,FALSE)</f>
        <v>0</v>
      </c>
      <c r="G96">
        <f>VLOOKUP($A96,$A$5:$H$32,7,FALSE)</f>
        <v>79.468999999999994</v>
      </c>
      <c r="H96">
        <f>VLOOKUP($A96,$A$5:$H$32,8,FALSE)</f>
        <v>0</v>
      </c>
    </row>
    <row r="97" spans="1:17" x14ac:dyDescent="0.25">
      <c r="A97" s="2" t="s">
        <v>45</v>
      </c>
      <c r="C97" s="4" t="s">
        <v>17</v>
      </c>
      <c r="D97" s="4" t="s">
        <v>15</v>
      </c>
      <c r="G97" s="4" t="s">
        <v>16</v>
      </c>
    </row>
    <row r="98" spans="1:17" x14ac:dyDescent="0.25">
      <c r="A98" s="2" t="s">
        <v>10</v>
      </c>
      <c r="C98" s="4">
        <f>IF(NOT(ISBLANK(C97)),VLOOKUP(C97,$S$41:$U$70,3,FALSE),0)</f>
        <v>14.6</v>
      </c>
      <c r="D98" s="4">
        <f>IF(NOT(ISBLANK(D97)),VLOOKUP(D97,$S$41:$U$70,3,FALSE),0)</f>
        <v>7.8</v>
      </c>
      <c r="E98" s="4">
        <f>IF(NOT(ISBLANK(E97)),VLOOKUP(E97,$S$41:$U$70,3,FALSE),0)</f>
        <v>0</v>
      </c>
      <c r="G98" s="4">
        <f>IF(NOT(ISBLANK(G97)),VLOOKUP(G97,$S$41:$U$70,2,FALSE),0)</f>
        <v>24.7</v>
      </c>
      <c r="H98" s="4">
        <f>IF(NOT(ISBLANK(H97)),VLOOKUP(H97,$S$41:$U$70,2,FALSE),0)</f>
        <v>0</v>
      </c>
    </row>
    <row r="99" spans="1:17" x14ac:dyDescent="0.25">
      <c r="A99" s="2" t="s">
        <v>9</v>
      </c>
      <c r="C99" s="6">
        <f>C98*C96</f>
        <v>1890.7</v>
      </c>
      <c r="D99" s="6">
        <f>D98*D96</f>
        <v>0</v>
      </c>
      <c r="E99" s="6">
        <f>E98*E96</f>
        <v>0</v>
      </c>
      <c r="F99" s="1"/>
      <c r="G99" s="6">
        <f>G96*G98</f>
        <v>1962.8842999999997</v>
      </c>
      <c r="H99" s="6">
        <f>H96*H98</f>
        <v>0</v>
      </c>
      <c r="I99" s="1"/>
      <c r="J99" s="1" t="str">
        <f>A96</f>
        <v>Gravel Processing</v>
      </c>
      <c r="K99" s="4">
        <f>SUM(G99:H99)-SUM(C99:E99)</f>
        <v>72.184299999999666</v>
      </c>
      <c r="L99" s="4">
        <f>SUM(G99:H99)/B96</f>
        <v>130.85895333333332</v>
      </c>
      <c r="M99" s="4">
        <f>K99/B96</f>
        <v>4.8122866666666448</v>
      </c>
      <c r="N99" s="3">
        <f>K99/SUM(G99:H99)</f>
        <v>3.6774607652626128E-2</v>
      </c>
      <c r="O99" s="1"/>
      <c r="P99" s="4">
        <v>36782</v>
      </c>
      <c r="Q99" s="5">
        <f>P99/K99*B96</f>
        <v>7643.3518091884598</v>
      </c>
    </row>
    <row r="101" spans="1:17" x14ac:dyDescent="0.25">
      <c r="A101" t="s">
        <v>61</v>
      </c>
      <c r="B101">
        <f>VLOOKUP($A101,$A$5:$H$32,2,FALSE)</f>
        <v>20</v>
      </c>
      <c r="C101">
        <f>VLOOKUP($A101,$A$5:$H$32,3,FALSE)</f>
        <v>18.491</v>
      </c>
      <c r="D101">
        <f>VLOOKUP($A101,$A$5:$H$32,4,FALSE)</f>
        <v>162.685</v>
      </c>
      <c r="E101">
        <f>VLOOKUP($A101,$A$5:$H$32,5,FALSE)</f>
        <v>0</v>
      </c>
      <c r="G101">
        <f>VLOOKUP($A101,$A$5:$H$32,7,FALSE)</f>
        <v>46.542999999999999</v>
      </c>
      <c r="H101">
        <f>VLOOKUP($A101,$A$5:$H$32,8,FALSE)</f>
        <v>0</v>
      </c>
    </row>
    <row r="102" spans="1:17" x14ac:dyDescent="0.25">
      <c r="A102" s="2" t="s">
        <v>45</v>
      </c>
      <c r="C102" s="4" t="s">
        <v>25</v>
      </c>
      <c r="D102" s="4" t="s">
        <v>16</v>
      </c>
      <c r="E102" s="4" t="s">
        <v>15</v>
      </c>
      <c r="G102" s="4" t="s">
        <v>34</v>
      </c>
    </row>
    <row r="103" spans="1:17" x14ac:dyDescent="0.25">
      <c r="A103" s="2" t="s">
        <v>10</v>
      </c>
      <c r="C103" s="4">
        <f>IF(NOT(ISBLANK(C102)),VLOOKUP(C102,$S$41:$U$70,3,FALSE),0)</f>
        <v>130</v>
      </c>
      <c r="D103" s="4">
        <f>IF(NOT(ISBLANK(D102)),VLOOKUP(D102,$S$41:$U$70,3,FALSE),0)</f>
        <v>34.5</v>
      </c>
      <c r="E103" s="4">
        <f>IF(NOT(ISBLANK(E102)),VLOOKUP(E102,$S$41:$U$70,3,FALSE),0)</f>
        <v>7.8</v>
      </c>
      <c r="G103" s="4">
        <f>IF(NOT(ISBLANK(G102)),VLOOKUP(G102,$S$41:$U$70,2,FALSE),0)</f>
        <v>81</v>
      </c>
      <c r="H103" s="4">
        <f>IF(NOT(ISBLANK(H102)),VLOOKUP(H102,$S$41:$U$70,2,FALSE),0)</f>
        <v>0</v>
      </c>
    </row>
    <row r="104" spans="1:17" x14ac:dyDescent="0.25">
      <c r="A104" s="2" t="s">
        <v>9</v>
      </c>
      <c r="C104" s="6">
        <f>C103*C101</f>
        <v>2403.83</v>
      </c>
      <c r="D104" s="6">
        <f>D103*D101</f>
        <v>5612.6324999999997</v>
      </c>
      <c r="E104" s="6">
        <f>E103*E101</f>
        <v>0</v>
      </c>
      <c r="F104" s="1"/>
      <c r="G104" s="6">
        <f>G101*G103</f>
        <v>3769.9829999999997</v>
      </c>
      <c r="H104" s="6">
        <f>H101*H103</f>
        <v>0</v>
      </c>
      <c r="I104" s="1"/>
      <c r="J104" s="1" t="str">
        <f>A101</f>
        <v>Cement Plant</v>
      </c>
      <c r="K104" s="4">
        <f>SUM(G104:H104)-SUM(C104:E104)</f>
        <v>-4246.4794999999995</v>
      </c>
      <c r="L104" s="4">
        <f>SUM(G104:H104)/B101</f>
        <v>188.49914999999999</v>
      </c>
      <c r="M104" s="4">
        <f>K104/B101</f>
        <v>-212.32397499999996</v>
      </c>
      <c r="N104" s="3">
        <f>K104/SUM(G104:H104)</f>
        <v>-1.1263922145007019</v>
      </c>
      <c r="O104" s="1"/>
      <c r="P104" s="4">
        <v>203603</v>
      </c>
      <c r="Q104" s="5">
        <f>P104/K104*B101</f>
        <v>-958.92609395618194</v>
      </c>
    </row>
    <row r="106" spans="1:17" x14ac:dyDescent="0.25">
      <c r="A106" t="s">
        <v>62</v>
      </c>
      <c r="B106">
        <f>VLOOKUP($A106,$A$5:$H$32,2,FALSE)</f>
        <v>4</v>
      </c>
      <c r="C106">
        <f>VLOOKUP($A106,$A$5:$H$32,3,FALSE)</f>
        <v>160.43</v>
      </c>
      <c r="D106">
        <f>VLOOKUP($A106,$A$5:$H$32,4,FALSE)</f>
        <v>28.48</v>
      </c>
      <c r="E106">
        <f>VLOOKUP($A106,$A$5:$H$32,5,FALSE)</f>
        <v>0</v>
      </c>
      <c r="G106">
        <f>VLOOKUP($A106,$A$5:$H$32,7,FALSE)</f>
        <v>112.752</v>
      </c>
      <c r="H106">
        <f>VLOOKUP($A106,$A$5:$H$32,8,FALSE)</f>
        <v>0</v>
      </c>
    </row>
    <row r="107" spans="1:17" x14ac:dyDescent="0.25">
      <c r="A107" s="2" t="s">
        <v>45</v>
      </c>
      <c r="C107" s="4" t="s">
        <v>16</v>
      </c>
      <c r="D107" s="4" t="s">
        <v>34</v>
      </c>
      <c r="E107" s="4" t="s">
        <v>15</v>
      </c>
      <c r="G107" s="4" t="s">
        <v>40</v>
      </c>
    </row>
    <row r="108" spans="1:17" x14ac:dyDescent="0.25">
      <c r="A108" s="2" t="s">
        <v>10</v>
      </c>
      <c r="C108" s="4">
        <f>IF(NOT(ISBLANK(C107)),VLOOKUP(C107,$S$41:$U$70,3,FALSE),0)</f>
        <v>34.5</v>
      </c>
      <c r="D108" s="4">
        <f>IF(NOT(ISBLANK(D107)),VLOOKUP(D107,$S$41:$U$70,3,FALSE),0)</f>
        <v>97</v>
      </c>
      <c r="E108" s="4">
        <f>IF(NOT(ISBLANK(E107)),VLOOKUP(E107,$S$41:$U$70,3,FALSE),0)</f>
        <v>7.8</v>
      </c>
      <c r="G108" s="4">
        <f>IF(NOT(ISBLANK(G107)),VLOOKUP(G107,$S$41:$U$70,2,FALSE),0)</f>
        <v>22</v>
      </c>
      <c r="H108" s="4">
        <f>IF(NOT(ISBLANK(H107)),VLOOKUP(H107,$S$41:$U$70,2,FALSE),0)</f>
        <v>0</v>
      </c>
    </row>
    <row r="109" spans="1:17" x14ac:dyDescent="0.25">
      <c r="A109" s="2" t="s">
        <v>9</v>
      </c>
      <c r="C109" s="6">
        <f>C108*C106</f>
        <v>5534.835</v>
      </c>
      <c r="D109" s="6">
        <f>D108*D106</f>
        <v>2762.56</v>
      </c>
      <c r="E109" s="6">
        <f>E108*E106</f>
        <v>0</v>
      </c>
      <c r="F109" s="1"/>
      <c r="G109" s="6">
        <f>G106*G108</f>
        <v>2480.5439999999999</v>
      </c>
      <c r="H109" s="6">
        <f>H106*H108</f>
        <v>0</v>
      </c>
      <c r="I109" s="1"/>
      <c r="J109" s="1" t="str">
        <f>A106</f>
        <v>Concrete Plant</v>
      </c>
      <c r="K109" s="4">
        <f>SUM(G109:H109)-SUM(C109:E109)</f>
        <v>-5816.8510000000006</v>
      </c>
      <c r="L109" s="4">
        <f>SUM(G109:H109)/B106</f>
        <v>620.13599999999997</v>
      </c>
      <c r="M109" s="4">
        <f>K109/B106</f>
        <v>-1454.2127500000001</v>
      </c>
      <c r="N109" s="3">
        <f>K109/SUM(G109:H109)</f>
        <v>-2.3449900505695527</v>
      </c>
      <c r="O109" s="1"/>
      <c r="P109" s="4">
        <v>34720</v>
      </c>
      <c r="Q109" s="5">
        <f>P109/K109*B106</f>
        <v>-23.875461138681391</v>
      </c>
    </row>
    <row r="111" spans="1:17" x14ac:dyDescent="0.25">
      <c r="A111" t="s">
        <v>63</v>
      </c>
      <c r="B111">
        <f>VLOOKUP($A111,$A$5:$H$32,2,FALSE)</f>
        <v>1</v>
      </c>
      <c r="C111">
        <f>VLOOKUP($A111,$A$5:$H$32,3,FALSE)</f>
        <v>0</v>
      </c>
      <c r="D111">
        <f>VLOOKUP($A111,$A$5:$H$32,4,FALSE)</f>
        <v>0</v>
      </c>
      <c r="E111">
        <f>VLOOKUP($A111,$A$5:$H$32,5,FALSE)</f>
        <v>0</v>
      </c>
      <c r="G111">
        <f>VLOOKUP($A111,$A$5:$H$32,7,FALSE)</f>
        <v>2.3610000000000002</v>
      </c>
      <c r="H111">
        <f>VLOOKUP($A111,$A$5:$H$32,8,FALSE)</f>
        <v>0</v>
      </c>
    </row>
    <row r="112" spans="1:17" x14ac:dyDescent="0.25">
      <c r="A112" s="2" t="s">
        <v>45</v>
      </c>
      <c r="C112" s="4" t="s">
        <v>15</v>
      </c>
      <c r="G112" s="4" t="s">
        <v>23</v>
      </c>
    </row>
    <row r="113" spans="1:17" x14ac:dyDescent="0.25">
      <c r="A113" s="2" t="s">
        <v>10</v>
      </c>
      <c r="C113" s="4">
        <f>IF(NOT(ISBLANK(C112)),VLOOKUP(C112,$S$41:$U$70,3,FALSE),0)</f>
        <v>7.8</v>
      </c>
      <c r="D113" s="4">
        <f>IF(NOT(ISBLANK(D112)),VLOOKUP(D112,$S$41:$U$70,3,FALSE),0)</f>
        <v>0</v>
      </c>
      <c r="E113" s="4">
        <f>IF(NOT(ISBLANK(E112)),VLOOKUP(E112,$S$41:$U$70,3,FALSE),0)</f>
        <v>0</v>
      </c>
      <c r="G113" s="4">
        <f>IF(NOT(ISBLANK(G112)),VLOOKUP(G112,$S$41:$U$70,2,FALSE),0)</f>
        <v>77</v>
      </c>
      <c r="H113" s="4">
        <f>IF(NOT(ISBLANK(H112)),VLOOKUP(H112,$S$41:$U$70,2,FALSE),0)</f>
        <v>0</v>
      </c>
    </row>
    <row r="114" spans="1:17" x14ac:dyDescent="0.25">
      <c r="A114" s="2" t="s">
        <v>9</v>
      </c>
      <c r="C114" s="6">
        <f>C113*C111</f>
        <v>0</v>
      </c>
      <c r="D114" s="6">
        <f>D113*D111</f>
        <v>0</v>
      </c>
      <c r="E114" s="6">
        <f>E113*E111</f>
        <v>0</v>
      </c>
      <c r="F114" s="1"/>
      <c r="G114" s="6">
        <f>G111*G113</f>
        <v>181.79700000000003</v>
      </c>
      <c r="H114" s="6">
        <f>H111*H113</f>
        <v>0</v>
      </c>
      <c r="I114" s="1"/>
      <c r="J114" s="1" t="str">
        <f>A111</f>
        <v>Oil rig</v>
      </c>
      <c r="K114" s="4">
        <f>SUM(G114:H114)-SUM(C114:E114)</f>
        <v>181.79700000000003</v>
      </c>
      <c r="L114" s="4">
        <f>SUM(G114:H114)/B111</f>
        <v>181.79700000000003</v>
      </c>
      <c r="M114" s="4">
        <f>K114/B111</f>
        <v>181.79700000000003</v>
      </c>
      <c r="N114" s="3">
        <f>K114/SUM(G114:H114)</f>
        <v>1</v>
      </c>
      <c r="O114" s="1"/>
      <c r="P114" s="4">
        <v>6069</v>
      </c>
      <c r="Q114" s="5">
        <f>P114/K114*B111</f>
        <v>33.383389164837702</v>
      </c>
    </row>
    <row r="116" spans="1:17" x14ac:dyDescent="0.25">
      <c r="A116" t="s">
        <v>5</v>
      </c>
      <c r="B116">
        <f>VLOOKUP($A116,$A$5:$H$32,2,FALSE)</f>
        <v>439</v>
      </c>
      <c r="C116">
        <f>VLOOKUP($A116,$A$5:$H$32,3,FALSE)</f>
        <v>174.28800000000001</v>
      </c>
      <c r="D116">
        <f>VLOOKUP($A116,$A$5:$H$32,4,FALSE)</f>
        <v>0</v>
      </c>
      <c r="E116">
        <f>VLOOKUP($A116,$A$5:$H$32,5,FALSE)</f>
        <v>0</v>
      </c>
      <c r="G116">
        <f>VLOOKUP($A116,$A$5:$H$32,7,FALSE)</f>
        <v>50.210999999999999</v>
      </c>
      <c r="H116">
        <f>VLOOKUP($A116,$A$5:$H$32,8,FALSE)</f>
        <v>49.460999999999999</v>
      </c>
    </row>
    <row r="117" spans="1:17" x14ac:dyDescent="0.25">
      <c r="A117" s="2" t="s">
        <v>45</v>
      </c>
      <c r="C117" s="4" t="s">
        <v>23</v>
      </c>
      <c r="D117" s="4" t="s">
        <v>15</v>
      </c>
      <c r="G117" s="4" t="s">
        <v>31</v>
      </c>
      <c r="H117" s="4" t="s">
        <v>29</v>
      </c>
    </row>
    <row r="118" spans="1:17" x14ac:dyDescent="0.25">
      <c r="A118" s="2" t="s">
        <v>10</v>
      </c>
      <c r="C118" s="4">
        <f>IF(NOT(ISBLANK(C117)),VLOOKUP(C117,$S$41:$U$70,3,FALSE),0)</f>
        <v>92</v>
      </c>
      <c r="D118" s="4">
        <f>IF(NOT(ISBLANK(D117)),VLOOKUP(D117,$S$41:$U$70,3,FALSE),0)</f>
        <v>7.8</v>
      </c>
      <c r="E118" s="4">
        <f>IF(NOT(ISBLANK(E117)),VLOOKUP(E117,$S$41:$U$70,3,FALSE),0)</f>
        <v>0</v>
      </c>
      <c r="G118" s="4">
        <f>IF(NOT(ISBLANK(G117)),VLOOKUP(G117,$S$41:$U$70,2,FALSE),0)</f>
        <v>434</v>
      </c>
      <c r="H118" s="4">
        <f>IF(NOT(ISBLANK(H117)),VLOOKUP(H117,$S$41:$U$70,2,FALSE),0)</f>
        <v>154</v>
      </c>
    </row>
    <row r="119" spans="1:17" x14ac:dyDescent="0.25">
      <c r="A119" s="2" t="s">
        <v>9</v>
      </c>
      <c r="C119" s="6">
        <f>C118*C116</f>
        <v>16034.496000000001</v>
      </c>
      <c r="D119" s="6">
        <f>D118*D116</f>
        <v>0</v>
      </c>
      <c r="E119" s="6">
        <f>E118*E116</f>
        <v>0</v>
      </c>
      <c r="F119" s="1"/>
      <c r="G119" s="6">
        <f>G116*G118</f>
        <v>21791.574000000001</v>
      </c>
      <c r="H119" s="6">
        <f>H116*H118</f>
        <v>7616.9939999999997</v>
      </c>
      <c r="I119" s="1"/>
      <c r="J119" s="1" t="str">
        <f>A116</f>
        <v>Oil Refinery</v>
      </c>
      <c r="K119" s="4">
        <f>SUM(G119:H119)-SUM(C119:E119)</f>
        <v>13374.071999999998</v>
      </c>
      <c r="L119" s="4">
        <f>SUM(G119:H119)/B116</f>
        <v>66.989904328018227</v>
      </c>
      <c r="M119" s="4">
        <f>K119/B116</f>
        <v>30.46485649202733</v>
      </c>
      <c r="N119" s="3">
        <f>K119/SUM(G119:H119)</f>
        <v>0.45476787581088607</v>
      </c>
      <c r="O119" s="1"/>
      <c r="P119" s="4">
        <v>296868</v>
      </c>
      <c r="Q119" s="5">
        <f>P119/K119*B116</f>
        <v>9744.6052331705723</v>
      </c>
    </row>
    <row r="121" spans="1:17" x14ac:dyDescent="0.25">
      <c r="A121" t="s">
        <v>87</v>
      </c>
      <c r="B121">
        <f>VLOOKUP($A121,$A$5:$H$32,2,FALSE)</f>
        <v>4</v>
      </c>
      <c r="C121">
        <f>VLOOKUP($A121,$A$5:$H$32,3,FALSE)</f>
        <v>91.778000000000006</v>
      </c>
      <c r="D121">
        <f>VLOOKUP($A121,$A$5:$H$32,4,FALSE)</f>
        <v>17.757000000000001</v>
      </c>
      <c r="E121">
        <f>VLOOKUP($A121,$A$5:$H$32,5,FALSE)</f>
        <v>10.627000000000001</v>
      </c>
      <c r="G121">
        <f>VLOOKUP($A121,$A$5:$H$32,7,FALSE)</f>
        <v>98.99</v>
      </c>
      <c r="H121">
        <f>VLOOKUP($A121,$A$5:$H$32,8,FALSE)</f>
        <v>0</v>
      </c>
    </row>
    <row r="122" spans="1:17" x14ac:dyDescent="0.25">
      <c r="A122" s="2" t="s">
        <v>45</v>
      </c>
      <c r="C122" s="4" t="s">
        <v>16</v>
      </c>
      <c r="D122" s="4" t="s">
        <v>29</v>
      </c>
      <c r="E122" s="4" t="s">
        <v>15</v>
      </c>
      <c r="G122" s="4" t="s">
        <v>39</v>
      </c>
    </row>
    <row r="123" spans="1:17" x14ac:dyDescent="0.25">
      <c r="A123" s="2" t="s">
        <v>10</v>
      </c>
      <c r="C123" s="4">
        <f>IF(NOT(ISBLANK(C122)),VLOOKUP(C122,$S$41:$U$70,3,FALSE),0)</f>
        <v>34.5</v>
      </c>
      <c r="D123" s="4">
        <f>IF(NOT(ISBLANK(D122)),VLOOKUP(D122,$S$41:$U$70,3,FALSE),0)</f>
        <v>840</v>
      </c>
      <c r="E123" s="4">
        <f>IF(NOT(ISBLANK(E122)),VLOOKUP(E122,$S$41:$U$70,3,FALSE),0)</f>
        <v>7.8</v>
      </c>
      <c r="G123" s="4">
        <f>IF(NOT(ISBLANK(G122)),VLOOKUP(G122,$S$41:$U$70,2,FALSE),0)</f>
        <v>72</v>
      </c>
      <c r="H123" s="4">
        <f>IF(NOT(ISBLANK(H122)),VLOOKUP(H122,$S$41:$U$70,2,FALSE),0)</f>
        <v>0</v>
      </c>
    </row>
    <row r="124" spans="1:17" x14ac:dyDescent="0.25">
      <c r="A124" s="2" t="s">
        <v>9</v>
      </c>
      <c r="C124" s="6">
        <f>C123*C121</f>
        <v>3166.3410000000003</v>
      </c>
      <c r="D124" s="6">
        <f>D123*D121</f>
        <v>14915.880000000001</v>
      </c>
      <c r="E124" s="6">
        <f>E123*E121</f>
        <v>82.890600000000006</v>
      </c>
      <c r="F124" s="1"/>
      <c r="G124" s="6">
        <f>G121*G123</f>
        <v>7127.28</v>
      </c>
      <c r="H124" s="6">
        <f>H121*H123</f>
        <v>0</v>
      </c>
      <c r="I124" s="1"/>
      <c r="J124" s="1" t="str">
        <f>A121</f>
        <v>Asphalt Plant</v>
      </c>
      <c r="K124" s="4">
        <f>SUM(G124:H124)-SUM(C124:E124)</f>
        <v>-11037.831600000001</v>
      </c>
      <c r="L124" s="4">
        <f>SUM(G124:H124)/B121</f>
        <v>1781.82</v>
      </c>
      <c r="M124" s="4">
        <f>K124/B121</f>
        <v>-2759.4579000000003</v>
      </c>
      <c r="N124" s="3">
        <f>K124/SUM(G124:H124)</f>
        <v>-1.5486737717614576</v>
      </c>
      <c r="O124" s="1"/>
      <c r="P124" s="4">
        <v>38940</v>
      </c>
      <c r="Q124" s="5">
        <f>P124/K124*B121</f>
        <v>-14.111467328419831</v>
      </c>
    </row>
    <row r="126" spans="1:17" x14ac:dyDescent="0.25">
      <c r="A126" t="s">
        <v>65</v>
      </c>
      <c r="B126">
        <f>VLOOKUP($A126,$A$5:$H$32,2,FALSE)</f>
        <v>7</v>
      </c>
      <c r="C126">
        <f>VLOOKUP($A126,$A$5:$H$32,3,FALSE)</f>
        <v>1.4019999999999999</v>
      </c>
      <c r="D126">
        <f>VLOOKUP($A126,$A$5:$H$32,4,FALSE)</f>
        <v>0</v>
      </c>
      <c r="E126">
        <f>VLOOKUP($A126,$A$5:$H$32,5,FALSE)</f>
        <v>0</v>
      </c>
      <c r="G126">
        <f>VLOOKUP($A126,$A$5:$H$32,7,FALSE)</f>
        <v>0.27100000000000002</v>
      </c>
      <c r="H126">
        <f>VLOOKUP($A126,$A$5:$H$32,8,FALSE)</f>
        <v>0</v>
      </c>
    </row>
    <row r="127" spans="1:17" x14ac:dyDescent="0.25">
      <c r="A127" s="2" t="s">
        <v>45</v>
      </c>
      <c r="C127" s="4" t="s">
        <v>18</v>
      </c>
      <c r="G127" s="4" t="s">
        <v>38</v>
      </c>
    </row>
    <row r="128" spans="1:17" x14ac:dyDescent="0.25">
      <c r="A128" s="2" t="s">
        <v>10</v>
      </c>
      <c r="C128" s="4">
        <f>IF(NOT(ISBLANK(C127)),VLOOKUP(C127,$S$41:$U$70,3,FALSE),0)</f>
        <v>34.299999999999997</v>
      </c>
      <c r="D128" s="4">
        <f>IF(NOT(ISBLANK(D127)),VLOOKUP(D127,$S$41:$U$70,3,FALSE),0)</f>
        <v>0</v>
      </c>
      <c r="E128" s="4">
        <f>IF(NOT(ISBLANK(E127)),VLOOKUP(E127,$S$41:$U$70,3,FALSE),0)</f>
        <v>0</v>
      </c>
      <c r="G128" s="4">
        <f>IF(NOT(ISBLANK(G127)),VLOOKUP(G127,$S$41:$U$70,2,FALSE),0)</f>
        <v>618</v>
      </c>
      <c r="H128" s="4">
        <f>IF(NOT(ISBLANK(H127)),VLOOKUP(H127,$S$41:$U$70,2,FALSE),0)</f>
        <v>0</v>
      </c>
    </row>
    <row r="129" spans="1:17" x14ac:dyDescent="0.25">
      <c r="A129" s="2" t="s">
        <v>9</v>
      </c>
      <c r="C129" s="6">
        <f>C128*C126</f>
        <v>48.088599999999992</v>
      </c>
      <c r="D129" s="6">
        <f>D128*D126</f>
        <v>0</v>
      </c>
      <c r="E129" s="6">
        <f>E128*E126</f>
        <v>0</v>
      </c>
      <c r="F129" s="1"/>
      <c r="G129" s="6">
        <f>G126*G128</f>
        <v>167.47800000000001</v>
      </c>
      <c r="H129" s="6">
        <f>H126*H128</f>
        <v>0</v>
      </c>
      <c r="I129" s="1"/>
      <c r="J129" s="1" t="str">
        <f>A126</f>
        <v>Livestock Farm</v>
      </c>
      <c r="K129" s="4">
        <f>SUM(G129:H129)-SUM(C129:E129)</f>
        <v>119.38940000000002</v>
      </c>
      <c r="L129" s="4">
        <f>SUM(G129:H129)/B126</f>
        <v>23.925428571428572</v>
      </c>
      <c r="M129" s="4">
        <f>K129/B126</f>
        <v>17.055628571428574</v>
      </c>
      <c r="N129" s="3">
        <f>K129/SUM(G129:H129)</f>
        <v>0.71286616749662657</v>
      </c>
      <c r="O129" s="1"/>
      <c r="P129" s="4">
        <v>47934</v>
      </c>
      <c r="Q129" s="5">
        <f>P129/K129*B126</f>
        <v>2810.4505090066614</v>
      </c>
    </row>
    <row r="131" spans="1:17" x14ac:dyDescent="0.25">
      <c r="A131" t="s">
        <v>66</v>
      </c>
      <c r="B131">
        <f>VLOOKUP($A131,$A$5:$H$32,2,FALSE)</f>
        <v>6</v>
      </c>
      <c r="C131">
        <f>VLOOKUP($A131,$A$5:$H$32,3,FALSE)</f>
        <v>38.423999999999999</v>
      </c>
      <c r="D131">
        <f>VLOOKUP($A131,$A$5:$H$32,4,FALSE)</f>
        <v>0</v>
      </c>
      <c r="E131">
        <f>VLOOKUP($A131,$A$5:$H$32,5,FALSE)</f>
        <v>0</v>
      </c>
      <c r="G131">
        <f>VLOOKUP($A131,$A$5:$H$32,7,FALSE)</f>
        <v>11.105</v>
      </c>
      <c r="H131">
        <f>VLOOKUP($A131,$A$5:$H$32,8,FALSE)</f>
        <v>0</v>
      </c>
    </row>
    <row r="132" spans="1:17" x14ac:dyDescent="0.25">
      <c r="A132" s="2" t="s">
        <v>45</v>
      </c>
      <c r="C132" s="4" t="s">
        <v>38</v>
      </c>
      <c r="G132" s="4" t="s">
        <v>37</v>
      </c>
    </row>
    <row r="133" spans="1:17" x14ac:dyDescent="0.25">
      <c r="A133" s="2" t="s">
        <v>10</v>
      </c>
      <c r="C133" s="4">
        <f>IF(NOT(ISBLANK(C132)),VLOOKUP(C132,$S$41:$U$70,3,FALSE),0)</f>
        <v>690</v>
      </c>
      <c r="D133" s="4">
        <f>IF(NOT(ISBLANK(D132)),VLOOKUP(D132,$S$41:$U$70,3,FALSE),0)</f>
        <v>0</v>
      </c>
      <c r="E133" s="4">
        <f>IF(NOT(ISBLANK(E132)),VLOOKUP(E132,$S$41:$U$70,3,FALSE),0)</f>
        <v>0</v>
      </c>
      <c r="G133" s="4">
        <f>IF(NOT(ISBLANK(G132)),VLOOKUP(G132,$S$41:$U$70,2,FALSE),0)</f>
        <v>662</v>
      </c>
      <c r="H133" s="4">
        <f>IF(NOT(ISBLANK(H132)),VLOOKUP(H132,$S$41:$U$70,2,FALSE),0)</f>
        <v>0</v>
      </c>
    </row>
    <row r="134" spans="1:17" x14ac:dyDescent="0.25">
      <c r="A134" s="2" t="s">
        <v>9</v>
      </c>
      <c r="C134" s="6">
        <f>C133*C131</f>
        <v>26512.560000000001</v>
      </c>
      <c r="D134" s="6">
        <f>D133*D131</f>
        <v>0</v>
      </c>
      <c r="E134" s="6">
        <f>E133*E131</f>
        <v>0</v>
      </c>
      <c r="F134" s="1"/>
      <c r="G134" s="6">
        <f>G131*G133</f>
        <v>7351.51</v>
      </c>
      <c r="H134" s="6">
        <f>H131*H133</f>
        <v>0</v>
      </c>
      <c r="I134" s="1"/>
      <c r="J134" s="1" t="str">
        <f>A131</f>
        <v>Slaughterhouse</v>
      </c>
      <c r="K134" s="4">
        <f>SUM(G134:H134)-SUM(C134:E134)</f>
        <v>-19161.050000000003</v>
      </c>
      <c r="L134" s="4">
        <f>SUM(G134:H134)/B131</f>
        <v>1225.2516666666668</v>
      </c>
      <c r="M134" s="4">
        <f>K134/B131</f>
        <v>-3193.5083333333337</v>
      </c>
      <c r="N134" s="3">
        <f>K134/SUM(G134:H134)</f>
        <v>-2.6064101116641347</v>
      </c>
      <c r="O134" s="1"/>
      <c r="P134" s="4">
        <v>35621</v>
      </c>
      <c r="Q134" s="5">
        <f>P134/K134*B131</f>
        <v>-11.154190401882985</v>
      </c>
    </row>
    <row r="136" spans="1:17" x14ac:dyDescent="0.25">
      <c r="A136" t="s">
        <v>8</v>
      </c>
      <c r="B136">
        <f>VLOOKUP($A136,$A$5:$H$32,2,FALSE)</f>
        <v>178</v>
      </c>
      <c r="C136">
        <f>VLOOKUP($A136,$A$5:$H$32,3,FALSE)</f>
        <v>37.823999999999998</v>
      </c>
      <c r="D136">
        <f>VLOOKUP($A136,$A$5:$H$32,4,FALSE)</f>
        <v>0</v>
      </c>
      <c r="E136">
        <f>VLOOKUP($A136,$A$5:$H$32,5,FALSE)</f>
        <v>0</v>
      </c>
      <c r="G136">
        <f>VLOOKUP($A136,$A$5:$H$32,7,FALSE)</f>
        <v>40.792999999999999</v>
      </c>
      <c r="H136">
        <f>VLOOKUP($A136,$A$5:$H$32,8,FALSE)</f>
        <v>0</v>
      </c>
    </row>
    <row r="137" spans="1:17" x14ac:dyDescent="0.25">
      <c r="A137" s="2" t="s">
        <v>45</v>
      </c>
      <c r="C137" s="4" t="s">
        <v>18</v>
      </c>
      <c r="G137" s="4" t="s">
        <v>35</v>
      </c>
    </row>
    <row r="138" spans="1:17" x14ac:dyDescent="0.25">
      <c r="A138" s="2" t="s">
        <v>10</v>
      </c>
      <c r="C138" s="4">
        <f>IF(NOT(ISBLANK(C137)),VLOOKUP(C137,$S$41:$U$70,3,FALSE),0)</f>
        <v>34.299999999999997</v>
      </c>
      <c r="D138" s="4">
        <f>IF(NOT(ISBLANK(D137)),VLOOKUP(D137,$S$41:$U$70,3,FALSE),0)</f>
        <v>0</v>
      </c>
      <c r="E138" s="4">
        <f>IF(NOT(ISBLANK(E137)),VLOOKUP(E137,$S$41:$U$70,3,FALSE),0)</f>
        <v>0</v>
      </c>
      <c r="G138" s="4">
        <f>IF(NOT(ISBLANK(G137)),VLOOKUP(G137,$S$41:$U$70,2,FALSE),0)</f>
        <v>350</v>
      </c>
      <c r="H138" s="4">
        <f>IF(NOT(ISBLANK(H137)),VLOOKUP(H137,$S$41:$U$70,2,FALSE),0)</f>
        <v>0</v>
      </c>
    </row>
    <row r="139" spans="1:17" x14ac:dyDescent="0.25">
      <c r="A139" s="2" t="s">
        <v>9</v>
      </c>
      <c r="C139" s="6">
        <f>C138*C136</f>
        <v>1297.3631999999998</v>
      </c>
      <c r="D139" s="6">
        <f t="shared" ref="D139" si="5">D138*D136</f>
        <v>0</v>
      </c>
      <c r="E139" s="6">
        <f t="shared" ref="E139" si="6">E138*E136</f>
        <v>0</v>
      </c>
      <c r="F139" s="1"/>
      <c r="G139" s="6">
        <f>G136*G138</f>
        <v>14277.55</v>
      </c>
      <c r="H139" s="6">
        <f>H136*H138</f>
        <v>0</v>
      </c>
      <c r="I139" s="1"/>
      <c r="J139" s="1" t="str">
        <f>A136</f>
        <v>Food Factory</v>
      </c>
      <c r="K139" s="4">
        <f>SUM(G139:H139)-SUM(C139:E139)</f>
        <v>12980.186799999999</v>
      </c>
      <c r="L139" s="4">
        <f>SUM(G139:H139)/B136</f>
        <v>80.21095505617977</v>
      </c>
      <c r="M139" s="4">
        <f>K139/B136</f>
        <v>72.92239775280899</v>
      </c>
      <c r="N139" s="3">
        <f>K139/SUM(G139:H139)</f>
        <v>0.90913264530679283</v>
      </c>
      <c r="O139" s="1"/>
      <c r="P139" s="4">
        <v>71504</v>
      </c>
      <c r="Q139" s="5">
        <f>P139/K139*B136</f>
        <v>980.54921674933075</v>
      </c>
    </row>
    <row r="141" spans="1:17" x14ac:dyDescent="0.25">
      <c r="A141" t="s">
        <v>67</v>
      </c>
      <c r="B141">
        <f>VLOOKUP($A141,$A$5:$H$32,2,FALSE)</f>
        <v>80</v>
      </c>
      <c r="C141">
        <f>VLOOKUP($A141,$A$5:$H$32,3,FALSE)</f>
        <v>24.14</v>
      </c>
      <c r="D141">
        <f>VLOOKUP($A141,$A$5:$H$32,4,FALSE)</f>
        <v>0</v>
      </c>
      <c r="E141">
        <f>VLOOKUP($A141,$A$5:$H$32,5,FALSE)</f>
        <v>0</v>
      </c>
      <c r="G141">
        <f>VLOOKUP($A141,$A$5:$H$32,7,FALSE)</f>
        <v>4.6479999999999997</v>
      </c>
      <c r="H141">
        <f>VLOOKUP($A141,$A$5:$H$32,8,FALSE)</f>
        <v>0</v>
      </c>
    </row>
    <row r="142" spans="1:17" x14ac:dyDescent="0.25">
      <c r="A142" s="2" t="s">
        <v>45</v>
      </c>
      <c r="C142" s="4" t="s">
        <v>18</v>
      </c>
      <c r="D142" s="4" t="s">
        <v>15</v>
      </c>
      <c r="G142" s="4" t="s">
        <v>33</v>
      </c>
    </row>
    <row r="143" spans="1:17" x14ac:dyDescent="0.25">
      <c r="A143" s="2" t="s">
        <v>10</v>
      </c>
      <c r="C143" s="4">
        <f>IF(NOT(ISBLANK(C142)),VLOOKUP(C142,$S$41:$U$70,3,FALSE),0)</f>
        <v>34.299999999999997</v>
      </c>
      <c r="D143" s="4">
        <f>IF(NOT(ISBLANK(D142)),VLOOKUP(D142,$S$41:$U$70,3,FALSE),0)</f>
        <v>7.8</v>
      </c>
      <c r="E143" s="4">
        <f>IF(NOT(ISBLANK(E142)),VLOOKUP(E142,$S$41:$U$70,3,FALSE),0)</f>
        <v>0</v>
      </c>
      <c r="G143" s="4">
        <f>IF(NOT(ISBLANK(G142)),VLOOKUP(G142,$S$41:$U$70,2,FALSE),0)</f>
        <v>980</v>
      </c>
      <c r="H143" s="4">
        <f>IF(NOT(ISBLANK(H142)),VLOOKUP(H142,$S$41:$U$70,2,FALSE),0)</f>
        <v>0</v>
      </c>
    </row>
    <row r="144" spans="1:17" x14ac:dyDescent="0.25">
      <c r="A144" s="2" t="s">
        <v>9</v>
      </c>
      <c r="C144" s="6">
        <f>C143*C141</f>
        <v>828.00199999999995</v>
      </c>
      <c r="D144" s="6">
        <f>D143*D141</f>
        <v>0</v>
      </c>
      <c r="E144" s="6">
        <f>E143*E141</f>
        <v>0</v>
      </c>
      <c r="F144" s="1"/>
      <c r="G144" s="6">
        <f>G141*G143</f>
        <v>4555.04</v>
      </c>
      <c r="H144" s="6">
        <f>H141*H143</f>
        <v>0</v>
      </c>
      <c r="I144" s="1"/>
      <c r="J144" s="1" t="str">
        <f>A141</f>
        <v>Distillery</v>
      </c>
      <c r="K144" s="4">
        <f>SUM(G144:H144)-SUM(C144:E144)</f>
        <v>3727.038</v>
      </c>
      <c r="L144" s="4">
        <f>SUM(G144:H144)/B141</f>
        <v>56.938000000000002</v>
      </c>
      <c r="M144" s="4">
        <f>K144/B141</f>
        <v>46.587975</v>
      </c>
      <c r="N144" s="3">
        <f>K144/SUM(G144:H144)</f>
        <v>0.81822289156626504</v>
      </c>
      <c r="O144" s="1"/>
      <c r="P144" s="4">
        <v>37951</v>
      </c>
      <c r="Q144" s="5">
        <f>P144/K144*B141</f>
        <v>814.60934930097312</v>
      </c>
    </row>
    <row r="146" spans="1:17" x14ac:dyDescent="0.25">
      <c r="A146" t="s">
        <v>69</v>
      </c>
      <c r="B146" t="e">
        <f>VLOOKUP($A146,$A$5:$H$32,2,FALSE)</f>
        <v>#N/A</v>
      </c>
      <c r="C146" t="e">
        <f>VLOOKUP($A146,$A$5:$H$32,3,FALSE)</f>
        <v>#N/A</v>
      </c>
      <c r="D146" t="e">
        <f>VLOOKUP($A146,$A$5:$H$32,4,FALSE)</f>
        <v>#N/A</v>
      </c>
      <c r="E146" t="e">
        <f>VLOOKUP($A146,$A$5:$H$32,5,FALSE)</f>
        <v>#N/A</v>
      </c>
      <c r="G146" t="e">
        <f>VLOOKUP($A146,$A$5:$H$32,7,FALSE)</f>
        <v>#N/A</v>
      </c>
      <c r="H146" t="e">
        <f>VLOOKUP($A146,$A$5:$H$32,8,FALSE)</f>
        <v>#N/A</v>
      </c>
    </row>
    <row r="147" spans="1:17" x14ac:dyDescent="0.25">
      <c r="A147" s="2" t="s">
        <v>45</v>
      </c>
      <c r="C147" s="4" t="s">
        <v>16</v>
      </c>
      <c r="D147" s="4" t="s">
        <v>22</v>
      </c>
      <c r="E147" s="4" t="s">
        <v>23</v>
      </c>
      <c r="G147" s="4" t="s">
        <v>24</v>
      </c>
    </row>
    <row r="148" spans="1:17" x14ac:dyDescent="0.25">
      <c r="A148" s="2" t="s">
        <v>10</v>
      </c>
      <c r="C148" s="4">
        <f>IF(NOT(ISBLANK(C147)),VLOOKUP(C147,$S$41:$U$70,3,FALSE),0)</f>
        <v>34.5</v>
      </c>
      <c r="D148" s="4">
        <f>IF(NOT(ISBLANK(D147)),VLOOKUP(D147,$S$41:$U$70,3,FALSE),0)</f>
        <v>35</v>
      </c>
      <c r="E148" s="4">
        <f>IF(NOT(ISBLANK(E147)),VLOOKUP(E147,$S$41:$U$70,3,FALSE),0)</f>
        <v>92</v>
      </c>
      <c r="G148" s="4">
        <f>IF(NOT(ISBLANK(G147)),VLOOKUP(G147,$S$41:$U$70,2,FALSE),0)</f>
        <v>3414</v>
      </c>
      <c r="H148" s="4">
        <f>IF(NOT(ISBLANK(H147)),VLOOKUP(H147,$S$41:$U$70,2,FALSE),0)</f>
        <v>0</v>
      </c>
    </row>
    <row r="149" spans="1:17" x14ac:dyDescent="0.25">
      <c r="A149" s="2" t="s">
        <v>9</v>
      </c>
      <c r="C149" s="6" t="e">
        <f>C148*C146</f>
        <v>#N/A</v>
      </c>
      <c r="D149" s="6" t="e">
        <f>D148*D146</f>
        <v>#N/A</v>
      </c>
      <c r="E149" s="6" t="e">
        <f>E148*E146</f>
        <v>#N/A</v>
      </c>
      <c r="F149" s="1"/>
      <c r="G149" s="6" t="e">
        <f>G146*G148</f>
        <v>#N/A</v>
      </c>
      <c r="H149" s="6" t="e">
        <f>H146*H148</f>
        <v>#N/A</v>
      </c>
      <c r="I149" s="1"/>
      <c r="J149" s="1" t="str">
        <f>A146</f>
        <v>Chemical Plant</v>
      </c>
      <c r="K149" s="4" t="e">
        <f>SUM(G149:H149)-SUM(C149:E149)</f>
        <v>#N/A</v>
      </c>
      <c r="L149" s="4" t="e">
        <f>SUM(G149:H149)/B146</f>
        <v>#N/A</v>
      </c>
      <c r="M149" s="4" t="e">
        <f>K149/B146</f>
        <v>#N/A</v>
      </c>
      <c r="N149" s="3" t="e">
        <f>K149/SUM(G149:H149)</f>
        <v>#N/A</v>
      </c>
      <c r="O149" s="1"/>
      <c r="P149" s="4">
        <v>0</v>
      </c>
      <c r="Q149" s="5" t="e">
        <f>P149/K149*B146</f>
        <v>#N/A</v>
      </c>
    </row>
    <row r="151" spans="1:17" x14ac:dyDescent="0.25">
      <c r="A151" t="s">
        <v>70</v>
      </c>
      <c r="B151" t="e">
        <f>VLOOKUP($A151,$A$5:$H$32,2,FALSE)</f>
        <v>#N/A</v>
      </c>
      <c r="C151" t="e">
        <f>VLOOKUP($A151,$A$5:$H$32,3,FALSE)</f>
        <v>#N/A</v>
      </c>
      <c r="D151" t="e">
        <f>VLOOKUP($A151,$A$5:$H$32,4,FALSE)</f>
        <v>#N/A</v>
      </c>
      <c r="E151" t="e">
        <f>VLOOKUP($A151,$A$5:$H$32,5,FALSE)</f>
        <v>#N/A</v>
      </c>
      <c r="G151" t="e">
        <f>VLOOKUP($A151,$A$5:$H$32,7,FALSE)</f>
        <v>#N/A</v>
      </c>
      <c r="H151" t="e">
        <f>VLOOKUP($A151,$A$5:$H$32,8,FALSE)</f>
        <v>#N/A</v>
      </c>
    </row>
    <row r="152" spans="1:17" x14ac:dyDescent="0.25">
      <c r="A152" s="2" t="s">
        <v>45</v>
      </c>
      <c r="C152" s="4" t="s">
        <v>24</v>
      </c>
      <c r="D152" s="4" t="s">
        <v>23</v>
      </c>
      <c r="E152" s="4" t="s">
        <v>15</v>
      </c>
      <c r="G152" s="4" t="s">
        <v>43</v>
      </c>
    </row>
    <row r="153" spans="1:17" x14ac:dyDescent="0.25">
      <c r="A153" s="2" t="s">
        <v>10</v>
      </c>
      <c r="C153" s="4">
        <f>IF(NOT(ISBLANK(C152)),VLOOKUP(C152,$S$41:$U$70,3,FALSE),0)</f>
        <v>3781</v>
      </c>
      <c r="D153" s="4">
        <f>IF(NOT(ISBLANK(D152)),VLOOKUP(D152,$S$41:$U$70,3,FALSE),0)</f>
        <v>92</v>
      </c>
      <c r="E153" s="4">
        <f>IF(NOT(ISBLANK(E152)),VLOOKUP(E152,$S$41:$U$70,3,FALSE),0)</f>
        <v>7.8</v>
      </c>
      <c r="G153" s="4">
        <f>IF(NOT(ISBLANK(G152)),VLOOKUP(G152,$S$41:$U$70,2,FALSE),0)</f>
        <v>1321</v>
      </c>
      <c r="H153" s="4">
        <f>IF(NOT(ISBLANK(H152)),VLOOKUP(H152,$S$41:$U$70,2,FALSE),0)</f>
        <v>0</v>
      </c>
    </row>
    <row r="154" spans="1:17" x14ac:dyDescent="0.25">
      <c r="A154" s="2" t="s">
        <v>9</v>
      </c>
      <c r="C154" s="6" t="e">
        <f>C153*C151</f>
        <v>#N/A</v>
      </c>
      <c r="D154" s="6" t="e">
        <f>D153*D151</f>
        <v>#N/A</v>
      </c>
      <c r="E154" s="6" t="e">
        <f>E153*E151</f>
        <v>#N/A</v>
      </c>
      <c r="F154" s="1"/>
      <c r="G154" s="6" t="e">
        <f>G151*G153</f>
        <v>#N/A</v>
      </c>
      <c r="H154" s="6" t="e">
        <f>H151*H153</f>
        <v>#N/A</v>
      </c>
      <c r="I154" s="1"/>
      <c r="J154" s="1" t="str">
        <f>A151</f>
        <v>Plastics Factory</v>
      </c>
      <c r="K154" s="4" t="e">
        <f>SUM(G154:H154)-SUM(C154:E154)</f>
        <v>#N/A</v>
      </c>
      <c r="L154" s="4" t="e">
        <f>SUM(G154:H154)/B151</f>
        <v>#N/A</v>
      </c>
      <c r="M154" s="4" t="e">
        <f>K154/B151</f>
        <v>#N/A</v>
      </c>
      <c r="N154" s="3" t="e">
        <f>K154/SUM(G154:H154)</f>
        <v>#N/A</v>
      </c>
      <c r="O154" s="1"/>
      <c r="P154" s="4">
        <v>33226</v>
      </c>
      <c r="Q154" s="5" t="e">
        <f>P154/K154*B151</f>
        <v>#N/A</v>
      </c>
    </row>
    <row r="156" spans="1:17" x14ac:dyDescent="0.25">
      <c r="A156" t="s">
        <v>88</v>
      </c>
      <c r="B156">
        <f>VLOOKUP($A156,$A$5:$H$32,2,FALSE)</f>
        <v>45</v>
      </c>
      <c r="C156">
        <f>VLOOKUP($A156,$A$5:$H$32,3,FALSE)</f>
        <v>9.3070000000000004</v>
      </c>
      <c r="D156">
        <f>VLOOKUP($A156,$A$5:$H$32,4,FALSE)</f>
        <v>0.22500000000000001</v>
      </c>
      <c r="E156">
        <f>VLOOKUP($A156,$A$5:$H$32,5,FALSE)</f>
        <v>0</v>
      </c>
      <c r="G156">
        <f>VLOOKUP($A156,$A$5:$H$32,7,FALSE)</f>
        <v>0.43</v>
      </c>
      <c r="H156">
        <f>VLOOKUP($A156,$A$5:$H$32,8,FALSE)</f>
        <v>0</v>
      </c>
    </row>
    <row r="157" spans="1:17" x14ac:dyDescent="0.25">
      <c r="A157" s="2" t="s">
        <v>45</v>
      </c>
      <c r="C157" s="4" t="s">
        <v>18</v>
      </c>
      <c r="D157" s="4" t="s">
        <v>24</v>
      </c>
      <c r="E157" s="4" t="s">
        <v>15</v>
      </c>
      <c r="G157" s="4" t="s">
        <v>32</v>
      </c>
    </row>
    <row r="158" spans="1:17" x14ac:dyDescent="0.25">
      <c r="A158" s="2" t="s">
        <v>10</v>
      </c>
      <c r="C158" s="4">
        <f>IF(NOT(ISBLANK(C157)),VLOOKUP(C157,$S$41:$U$70,3,FALSE),0)</f>
        <v>34.299999999999997</v>
      </c>
      <c r="D158" s="4">
        <f>IF(NOT(ISBLANK(D157)),VLOOKUP(D157,$S$41:$U$70,3,FALSE),0)</f>
        <v>3781</v>
      </c>
      <c r="E158" s="4">
        <f>IF(NOT(ISBLANK(E157)),VLOOKUP(E157,$S$41:$U$70,3,FALSE),0)</f>
        <v>7.8</v>
      </c>
      <c r="G158" s="4">
        <f>IF(NOT(ISBLANK(G157)),VLOOKUP(G157,$S$41:$U$70,2,FALSE),0)</f>
        <v>998</v>
      </c>
      <c r="H158" s="4">
        <f>IF(NOT(ISBLANK(H157)),VLOOKUP(H157,$S$41:$U$70,2,FALSE),0)</f>
        <v>0</v>
      </c>
    </row>
    <row r="159" spans="1:17" x14ac:dyDescent="0.25">
      <c r="A159" s="2" t="s">
        <v>9</v>
      </c>
      <c r="C159" s="6">
        <f>C158*C156</f>
        <v>319.23009999999999</v>
      </c>
      <c r="D159" s="6">
        <f>D158*D156</f>
        <v>850.72500000000002</v>
      </c>
      <c r="E159" s="6">
        <f>E158*E156</f>
        <v>0</v>
      </c>
      <c r="F159" s="1"/>
      <c r="G159" s="6">
        <f>G156*G158</f>
        <v>429.14</v>
      </c>
      <c r="H159" s="6">
        <f>H156*H158</f>
        <v>0</v>
      </c>
      <c r="I159" s="1"/>
      <c r="J159" s="1" t="str">
        <f>A156</f>
        <v>Fabric Factory</v>
      </c>
      <c r="K159" s="4">
        <f>SUM(G159:H159)-SUM(C159:E159)</f>
        <v>-740.81510000000014</v>
      </c>
      <c r="L159" s="4">
        <f>SUM(G159:H159)/B156</f>
        <v>9.5364444444444434</v>
      </c>
      <c r="M159" s="4">
        <f>K159/B156</f>
        <v>-16.462557777777782</v>
      </c>
      <c r="N159" s="3">
        <f>K159/SUM(G159:H159)</f>
        <v>-1.7262783706948786</v>
      </c>
      <c r="O159" s="1"/>
      <c r="P159" s="4">
        <v>35900</v>
      </c>
      <c r="Q159" s="5">
        <f>P159/K159*B156</f>
        <v>-2180.706089819173</v>
      </c>
    </row>
    <row r="160" spans="1:17" x14ac:dyDescent="0.25">
      <c r="A160" s="2"/>
      <c r="C160" s="6"/>
      <c r="D160" s="6"/>
      <c r="E160" s="6"/>
      <c r="F160" s="1"/>
      <c r="G160" s="6"/>
      <c r="H160" s="6"/>
      <c r="I160" s="1"/>
      <c r="J160" s="1"/>
      <c r="O160" s="1"/>
    </row>
    <row r="161" spans="1:17" x14ac:dyDescent="0.25">
      <c r="A161" t="s">
        <v>71</v>
      </c>
      <c r="B161" t="e">
        <f>VLOOKUP($A161,$A$5:$H$32,2,FALSE)</f>
        <v>#N/A</v>
      </c>
      <c r="C161" t="e">
        <f>VLOOKUP($A161,$A$5:$H$32,3,FALSE)</f>
        <v>#N/A</v>
      </c>
      <c r="D161" t="e">
        <f>VLOOKUP($A161,$A$5:$H$32,4,FALSE)</f>
        <v>#N/A</v>
      </c>
      <c r="E161" t="e">
        <f>VLOOKUP($A161,$A$5:$H$32,5,FALSE)</f>
        <v>#N/A</v>
      </c>
      <c r="G161" t="e">
        <f>VLOOKUP($A161,$A$5:$H$32,7,FALSE)</f>
        <v>#N/A</v>
      </c>
      <c r="H161" t="e">
        <f>VLOOKUP($A161,$A$5:$H$32,8,FALSE)</f>
        <v>#N/A</v>
      </c>
    </row>
    <row r="162" spans="1:17" x14ac:dyDescent="0.25">
      <c r="A162" s="2" t="s">
        <v>45</v>
      </c>
      <c r="C162" s="4" t="s">
        <v>19</v>
      </c>
      <c r="G162" s="4" t="s">
        <v>42</v>
      </c>
    </row>
    <row r="163" spans="1:17" x14ac:dyDescent="0.25">
      <c r="A163" s="2" t="s">
        <v>10</v>
      </c>
      <c r="C163" s="4">
        <f>IF(NOT(ISBLANK(C162)),VLOOKUP(C162,$S$41:$U$70,3,FALSE),0)</f>
        <v>2486</v>
      </c>
      <c r="D163" s="4">
        <f>IF(NOT(ISBLANK(D162)),VLOOKUP(D162,$S$41:$U$70,3,FALSE),0)</f>
        <v>0</v>
      </c>
      <c r="E163" s="4">
        <f>IF(NOT(ISBLANK(E162)),VLOOKUP(E162,$S$41:$U$70,3,FALSE),0)</f>
        <v>0</v>
      </c>
      <c r="G163" s="4">
        <f>IF(NOT(ISBLANK(G162)),VLOOKUP(G162,$S$41:$U$70,2,FALSE),0)</f>
        <v>3427</v>
      </c>
      <c r="H163" s="4">
        <f>IF(NOT(ISBLANK(H162)),VLOOKUP(H162,$S$41:$U$70,2,FALSE),0)</f>
        <v>0</v>
      </c>
    </row>
    <row r="164" spans="1:17" x14ac:dyDescent="0.25">
      <c r="A164" s="2" t="s">
        <v>9</v>
      </c>
      <c r="C164" s="6" t="e">
        <f>C163*C161</f>
        <v>#N/A</v>
      </c>
      <c r="D164" s="6" t="e">
        <f>D163*D161</f>
        <v>#N/A</v>
      </c>
      <c r="E164" s="6" t="e">
        <f>E163*E161</f>
        <v>#N/A</v>
      </c>
      <c r="F164" s="1"/>
      <c r="G164" s="6" t="e">
        <f>G161*G163</f>
        <v>#N/A</v>
      </c>
      <c r="H164" s="6" t="e">
        <f>H161*H163</f>
        <v>#N/A</v>
      </c>
      <c r="I164" s="1"/>
      <c r="J164" s="1" t="str">
        <f>A161</f>
        <v>Mech Component</v>
      </c>
      <c r="K164" s="4" t="e">
        <f>SUM(G164:H164)-SUM(C164:E164)</f>
        <v>#N/A</v>
      </c>
      <c r="L164" s="4" t="e">
        <f>SUM(G164:H164)/B161</f>
        <v>#N/A</v>
      </c>
      <c r="M164" s="4" t="e">
        <f>K164/B161</f>
        <v>#N/A</v>
      </c>
      <c r="N164" s="3" t="e">
        <f>K164/SUM(G164:H164)</f>
        <v>#N/A</v>
      </c>
      <c r="O164" s="1"/>
      <c r="P164" s="4">
        <v>0</v>
      </c>
      <c r="Q164" s="5" t="e">
        <f>P164/K164*B161</f>
        <v>#N/A</v>
      </c>
    </row>
    <row r="166" spans="1:17" x14ac:dyDescent="0.25">
      <c r="A166" t="s">
        <v>72</v>
      </c>
      <c r="B166" t="e">
        <f>VLOOKUP($A166,$A$5:$H$32,2,FALSE)</f>
        <v>#N/A</v>
      </c>
      <c r="C166" t="e">
        <f>VLOOKUP($A166,$A$5:$H$32,3,FALSE)</f>
        <v>#N/A</v>
      </c>
      <c r="D166" t="e">
        <f>VLOOKUP($A166,$A$5:$H$32,4,FALSE)</f>
        <v>#N/A</v>
      </c>
      <c r="E166" t="e">
        <f>VLOOKUP($A166,$A$5:$H$32,5,FALSE)</f>
        <v>#N/A</v>
      </c>
      <c r="G166" t="e">
        <f>VLOOKUP($A166,$A$5:$H$32,7,FALSE)</f>
        <v>#N/A</v>
      </c>
      <c r="H166" t="e">
        <f>VLOOKUP($A166,$A$5:$H$32,8,FALSE)</f>
        <v>#N/A</v>
      </c>
    </row>
    <row r="167" spans="1:17" x14ac:dyDescent="0.25">
      <c r="A167" s="2" t="s">
        <v>45</v>
      </c>
      <c r="C167" s="4" t="s">
        <v>43</v>
      </c>
      <c r="D167" s="4" t="s">
        <v>19</v>
      </c>
      <c r="E167" s="4" t="s">
        <v>24</v>
      </c>
      <c r="G167" s="4" t="s">
        <v>41</v>
      </c>
    </row>
    <row r="168" spans="1:17" x14ac:dyDescent="0.25">
      <c r="A168" s="2" t="s">
        <v>10</v>
      </c>
      <c r="C168" s="4">
        <f>IF(NOT(ISBLANK(C167)),VLOOKUP(C167,$S$41:$U$70,3,FALSE),0)</f>
        <v>1467</v>
      </c>
      <c r="D168" s="4">
        <f>IF(NOT(ISBLANK(D167)),VLOOKUP(D167,$S$41:$U$70,3,FALSE),0)</f>
        <v>2486</v>
      </c>
      <c r="E168" s="4">
        <f>IF(NOT(ISBLANK(E167)),VLOOKUP(E167,$S$41:$U$70,3,FALSE),0)</f>
        <v>3781</v>
      </c>
      <c r="G168" s="4">
        <f>IF(NOT(ISBLANK(G167)),VLOOKUP(G167,$S$41:$U$70,2,FALSE),0)</f>
        <v>2778</v>
      </c>
      <c r="H168" s="4">
        <f>IF(NOT(ISBLANK(H167)),VLOOKUP(H167,$S$41:$U$70,2,FALSE),0)</f>
        <v>0</v>
      </c>
    </row>
    <row r="169" spans="1:17" x14ac:dyDescent="0.25">
      <c r="A169" s="2" t="s">
        <v>9</v>
      </c>
      <c r="C169" s="6" t="e">
        <f>C168*C166</f>
        <v>#N/A</v>
      </c>
      <c r="D169" s="6" t="e">
        <f>D168*D166</f>
        <v>#N/A</v>
      </c>
      <c r="E169" s="6" t="e">
        <f>E168*E166</f>
        <v>#N/A</v>
      </c>
      <c r="F169" s="1"/>
      <c r="G169" s="6" t="e">
        <f>G166*G168</f>
        <v>#N/A</v>
      </c>
      <c r="H169" s="6" t="e">
        <f>H166*H168</f>
        <v>#N/A</v>
      </c>
      <c r="I169" s="1"/>
      <c r="J169" s="1" t="str">
        <f>A166</f>
        <v>Elect Comp</v>
      </c>
      <c r="K169" s="4" t="e">
        <f>SUM(G169:H169)-SUM(C169:E169)</f>
        <v>#N/A</v>
      </c>
      <c r="L169" s="4" t="e">
        <f>SUM(G169:H169)/B166</f>
        <v>#N/A</v>
      </c>
      <c r="M169" s="4" t="e">
        <f>K169/B166</f>
        <v>#N/A</v>
      </c>
      <c r="N169" s="3" t="e">
        <f>K169/SUM(G169:H169)</f>
        <v>#N/A</v>
      </c>
      <c r="O169" s="1"/>
      <c r="P169" s="4">
        <v>0</v>
      </c>
      <c r="Q169" s="5" t="e">
        <f>P169/K169*B166</f>
        <v>#N/A</v>
      </c>
    </row>
    <row r="171" spans="1:17" x14ac:dyDescent="0.25">
      <c r="A171" t="s">
        <v>73</v>
      </c>
      <c r="B171">
        <f>VLOOKUP($A171,$A$5:$H$32,2,FALSE)</f>
        <v>35</v>
      </c>
      <c r="C171">
        <f>VLOOKUP($A171,$A$5:$H$32,3,FALSE)</f>
        <v>1.113</v>
      </c>
      <c r="D171">
        <f>VLOOKUP($A171,$A$5:$H$32,4,FALSE)</f>
        <v>0</v>
      </c>
      <c r="E171">
        <f>VLOOKUP($A171,$A$5:$H$32,5,FALSE)</f>
        <v>0</v>
      </c>
      <c r="G171">
        <f>VLOOKUP($A171,$A$5:$H$32,7,FALSE)</f>
        <v>7.0000000000000007E-2</v>
      </c>
      <c r="H171">
        <f>VLOOKUP($A171,$A$5:$H$32,8,FALSE)</f>
        <v>0</v>
      </c>
    </row>
    <row r="172" spans="1:17" x14ac:dyDescent="0.25">
      <c r="A172" s="2" t="s">
        <v>45</v>
      </c>
      <c r="C172" s="4" t="s">
        <v>32</v>
      </c>
      <c r="G172" s="4" t="s">
        <v>36</v>
      </c>
    </row>
    <row r="173" spans="1:17" x14ac:dyDescent="0.25">
      <c r="A173" s="2" t="s">
        <v>10</v>
      </c>
      <c r="C173" s="4">
        <f>IF(NOT(ISBLANK(C172)),VLOOKUP(C172,$S$41:$U$70,3,FALSE),0)</f>
        <v>1111</v>
      </c>
      <c r="D173" s="4">
        <f>IF(NOT(ISBLANK(D172)),VLOOKUP(D172,$S$41:$U$70,3,FALSE),0)</f>
        <v>0</v>
      </c>
      <c r="E173" s="4">
        <f>IF(NOT(ISBLANK(E172)),VLOOKUP(E172,$S$41:$U$70,3,FALSE),0)</f>
        <v>0</v>
      </c>
      <c r="G173" s="4">
        <f>IF(NOT(ISBLANK(G172)),VLOOKUP(G172,$S$41:$U$70,2,FALSE),0)</f>
        <v>13851</v>
      </c>
      <c r="H173" s="4">
        <f>IF(NOT(ISBLANK(H172)),VLOOKUP(H172,$S$41:$U$70,2,FALSE),0)</f>
        <v>0</v>
      </c>
    </row>
    <row r="174" spans="1:17" x14ac:dyDescent="0.25">
      <c r="A174" s="2" t="s">
        <v>9</v>
      </c>
      <c r="C174" s="6">
        <f>C173*C171</f>
        <v>1236.5429999999999</v>
      </c>
      <c r="D174" s="6">
        <f>D173*D171</f>
        <v>0</v>
      </c>
      <c r="E174" s="6">
        <f>E173*E171</f>
        <v>0</v>
      </c>
      <c r="F174" s="1"/>
      <c r="G174" s="6">
        <f>G171*G173</f>
        <v>969.57</v>
      </c>
      <c r="H174" s="6">
        <f>H171*H173</f>
        <v>0</v>
      </c>
      <c r="I174" s="1"/>
      <c r="J174" s="1" t="str">
        <f>A171</f>
        <v>Clothing Factory</v>
      </c>
      <c r="K174" s="4">
        <f>SUM(G174:H174)-SUM(C174:E174)</f>
        <v>-266.97299999999984</v>
      </c>
      <c r="L174" s="4">
        <f>SUM(G174:H174)/B171</f>
        <v>27.702000000000002</v>
      </c>
      <c r="M174" s="4">
        <f>K174/B171</f>
        <v>-7.6277999999999953</v>
      </c>
      <c r="N174" s="3">
        <f>K174/SUM(G174:H174)</f>
        <v>-0.27535196014728158</v>
      </c>
      <c r="O174" s="1"/>
      <c r="P174" s="4">
        <v>49231</v>
      </c>
      <c r="Q174" s="5">
        <f>P174/K174*B171</f>
        <v>-6454.1545399722108</v>
      </c>
    </row>
    <row r="176" spans="1:17" x14ac:dyDescent="0.25">
      <c r="A176" t="s">
        <v>74</v>
      </c>
      <c r="B176" t="e">
        <f>VLOOKUP($A176,$A$5:$H$32,2,FALSE)</f>
        <v>#N/A</v>
      </c>
      <c r="C176" t="e">
        <f>VLOOKUP($A176,$A$5:$H$32,3,FALSE)</f>
        <v>#N/A</v>
      </c>
      <c r="D176" t="e">
        <f>VLOOKUP($A176,$A$5:$H$32,4,FALSE)</f>
        <v>#N/A</v>
      </c>
      <c r="E176" t="e">
        <f>VLOOKUP($A176,$A$5:$H$32,5,FALSE)</f>
        <v>#N/A</v>
      </c>
      <c r="G176" t="e">
        <f>VLOOKUP($A176,$A$5:$H$32,7,FALSE)</f>
        <v>#N/A</v>
      </c>
      <c r="H176" t="e">
        <f>VLOOKUP($A176,$A$5:$H$32,8,FALSE)</f>
        <v>#N/A</v>
      </c>
    </row>
    <row r="177" spans="1:17" x14ac:dyDescent="0.25">
      <c r="A177" s="2" t="s">
        <v>45</v>
      </c>
      <c r="C177" s="4" t="s">
        <v>41</v>
      </c>
      <c r="D177" s="4" t="s">
        <v>43</v>
      </c>
      <c r="E177" s="4" t="s">
        <v>42</v>
      </c>
      <c r="G177" s="4" t="s">
        <v>44</v>
      </c>
    </row>
    <row r="178" spans="1:17" x14ac:dyDescent="0.25">
      <c r="A178" s="2" t="s">
        <v>10</v>
      </c>
      <c r="C178" s="4">
        <f>IF(NOT(ISBLANK(C177)),VLOOKUP(C177,$S$41:$U$70,3,FALSE),0)</f>
        <v>3077</v>
      </c>
      <c r="D178" s="4">
        <f>IF(NOT(ISBLANK(D177)),VLOOKUP(D177,$S$41:$U$70,3,FALSE),0)</f>
        <v>1467</v>
      </c>
      <c r="E178" s="4">
        <f>IF(NOT(ISBLANK(E177)),VLOOKUP(E177,$S$41:$U$70,3,FALSE),0)</f>
        <v>3795</v>
      </c>
      <c r="G178" s="4">
        <f>IF(NOT(ISBLANK(G177)),VLOOKUP(G177,$S$41:$U$70,2,FALSE),0)</f>
        <v>3152</v>
      </c>
      <c r="H178" s="4">
        <f>IF(NOT(ISBLANK(H177)),VLOOKUP(H177,$S$41:$U$70,2,FALSE),0)</f>
        <v>0</v>
      </c>
    </row>
    <row r="179" spans="1:17" x14ac:dyDescent="0.25">
      <c r="A179" s="2" t="s">
        <v>9</v>
      </c>
      <c r="C179" s="6" t="e">
        <f>C178*C176</f>
        <v>#N/A</v>
      </c>
      <c r="D179" s="6" t="e">
        <f>D178*D176</f>
        <v>#N/A</v>
      </c>
      <c r="E179" s="6" t="e">
        <f>E178*E176</f>
        <v>#N/A</v>
      </c>
      <c r="F179" s="1"/>
      <c r="G179" s="6" t="e">
        <f>G176*G178</f>
        <v>#N/A</v>
      </c>
      <c r="H179" s="6" t="e">
        <f>H176*H178</f>
        <v>#N/A</v>
      </c>
      <c r="I179" s="1"/>
      <c r="J179" s="1" t="str">
        <f>A176</f>
        <v>Elect Assembly</v>
      </c>
      <c r="K179" s="4" t="e">
        <f>SUM(G179:H179)-SUM(C179:E179)</f>
        <v>#N/A</v>
      </c>
      <c r="L179" s="4" t="e">
        <f>SUM(G179:H179)/B176</f>
        <v>#N/A</v>
      </c>
      <c r="M179" s="4" t="e">
        <f>K179/B176</f>
        <v>#N/A</v>
      </c>
      <c r="N179" s="3" t="e">
        <f>K179/SUM(G179:H179)</f>
        <v>#N/A</v>
      </c>
      <c r="O179" s="1"/>
      <c r="P179" s="4">
        <v>0</v>
      </c>
      <c r="Q179" s="5" t="e">
        <f>P179/K179*B176</f>
        <v>#N/A</v>
      </c>
    </row>
    <row r="180" spans="1:17" x14ac:dyDescent="0.25">
      <c r="C180" s="7"/>
      <c r="D180" s="7"/>
      <c r="E180" s="7"/>
      <c r="G180" s="7"/>
      <c r="H180" s="7"/>
    </row>
    <row r="181" spans="1:17" x14ac:dyDescent="0.25">
      <c r="A181" t="s">
        <v>77</v>
      </c>
      <c r="B181">
        <f>VLOOKUP($A181,$A$5:$H$33,2,FALSE)</f>
        <v>66</v>
      </c>
      <c r="C181">
        <f>VLOOKUP($A181,$A$5:$H$33,3,FALSE)</f>
        <v>9.7550000000000008</v>
      </c>
      <c r="D181">
        <f>VLOOKUP($A181,$A$5:$H$33,4,FALSE)</f>
        <v>64.022999999999996</v>
      </c>
      <c r="E181">
        <f>VLOOKUP($A181,$A$5:$H$33,5,FALSE)</f>
        <v>0</v>
      </c>
      <c r="G181">
        <f>VLOOKUP($A181,$A$5:$H$33,7,FALSE)</f>
        <v>49.201000000000001</v>
      </c>
      <c r="H181">
        <f>VLOOKUP($A181,$A$5:$H$33,8,FALSE)</f>
        <v>0</v>
      </c>
    </row>
    <row r="182" spans="1:17" x14ac:dyDescent="0.25">
      <c r="A182" s="2" t="s">
        <v>45</v>
      </c>
      <c r="C182" s="4" t="s">
        <v>34</v>
      </c>
      <c r="D182" s="4" t="s">
        <v>16</v>
      </c>
      <c r="G182" s="4" t="s">
        <v>20</v>
      </c>
    </row>
    <row r="183" spans="1:17" x14ac:dyDescent="0.25">
      <c r="A183" s="2" t="s">
        <v>10</v>
      </c>
      <c r="C183" s="4">
        <f>IF(NOT(ISBLANK(C182)),VLOOKUP(C182,$S$41:$U$70,3,FALSE),0)</f>
        <v>97</v>
      </c>
      <c r="D183" s="4">
        <f>IF(NOT(ISBLANK(D182)),VLOOKUP(D182,$S$41:$U$70,3,FALSE),0)</f>
        <v>34.5</v>
      </c>
      <c r="E183" s="4">
        <f>IF(NOT(ISBLANK(E182)),VLOOKUP(E182,$S$41:$U$70,3,FALSE),0)</f>
        <v>0</v>
      </c>
      <c r="G183" s="4">
        <f>IF(NOT(ISBLANK(G182)),VLOOKUP(G182,$S$41:$U$70,2,FALSE),0)</f>
        <v>57</v>
      </c>
      <c r="H183" s="4">
        <f>IF(NOT(ISBLANK(H182)),VLOOKUP(H182,$S$41:$U$70,2,FALSE),0)</f>
        <v>0</v>
      </c>
    </row>
    <row r="184" spans="1:17" x14ac:dyDescent="0.25">
      <c r="A184" s="2" t="s">
        <v>9</v>
      </c>
      <c r="C184" s="6">
        <f>C183*C181</f>
        <v>946.23500000000013</v>
      </c>
      <c r="D184" s="6">
        <f>D183*D181</f>
        <v>2208.7934999999998</v>
      </c>
      <c r="E184" s="6">
        <f>E183*E181</f>
        <v>0</v>
      </c>
      <c r="F184" s="1"/>
      <c r="G184" s="6">
        <f>G181*G183</f>
        <v>2804.4569999999999</v>
      </c>
      <c r="H184" s="6">
        <f>H181*H183</f>
        <v>0</v>
      </c>
      <c r="I184" s="1"/>
      <c r="J184" s="1" t="str">
        <f>A181</f>
        <v>Prefab factory</v>
      </c>
      <c r="K184" s="4">
        <f>SUM(G184:H184)-SUM(C184:E184)</f>
        <v>-350.57150000000001</v>
      </c>
      <c r="L184" s="4">
        <f>SUM(G184:H184)/B181</f>
        <v>42.491772727272725</v>
      </c>
      <c r="M184" s="4">
        <f>K184/B181</f>
        <v>-5.3116893939393943</v>
      </c>
      <c r="N184" s="3">
        <f>K184/SUM(G184:H184)</f>
        <v>-0.12500512576944486</v>
      </c>
      <c r="O184" s="1"/>
      <c r="P184" s="4">
        <v>36860</v>
      </c>
      <c r="Q184" s="5">
        <f>P184/K184*B181</f>
        <v>-6939.411789035903</v>
      </c>
    </row>
    <row r="185" spans="1:17" x14ac:dyDescent="0.25">
      <c r="C185" s="7"/>
      <c r="D185" s="7"/>
      <c r="E185" s="7"/>
      <c r="G185" s="7"/>
      <c r="H185" s="7"/>
    </row>
    <row r="186" spans="1:17" x14ac:dyDescent="0.25">
      <c r="A186" s="2"/>
    </row>
    <row r="187" spans="1:17" x14ac:dyDescent="0.25">
      <c r="A187" s="2"/>
    </row>
    <row r="188" spans="1:17" x14ac:dyDescent="0.25">
      <c r="A188" s="2"/>
      <c r="C188" s="6"/>
      <c r="D188" s="6"/>
      <c r="E188" s="6"/>
      <c r="F188" s="1"/>
      <c r="G188" s="6"/>
      <c r="H188" s="6"/>
      <c r="I188" s="1"/>
      <c r="J188" s="1"/>
      <c r="O188" s="1"/>
    </row>
    <row r="190" spans="1:17" x14ac:dyDescent="0.25">
      <c r="C190" s="7"/>
      <c r="D190" s="7"/>
      <c r="E190" s="7"/>
      <c r="G190" s="7"/>
      <c r="H190" s="7"/>
    </row>
    <row r="191" spans="1:17" x14ac:dyDescent="0.25">
      <c r="A191" s="2"/>
    </row>
    <row r="192" spans="1:17" x14ac:dyDescent="0.25">
      <c r="A192" s="2"/>
    </row>
    <row r="193" spans="1:15" x14ac:dyDescent="0.25">
      <c r="A193" s="2"/>
      <c r="C193" s="6"/>
      <c r="D193" s="6"/>
      <c r="E193" s="6"/>
      <c r="F193" s="1"/>
      <c r="G193" s="6"/>
      <c r="H193" s="6"/>
      <c r="I193" s="1"/>
      <c r="J193" s="1"/>
      <c r="O193" s="1"/>
    </row>
    <row r="195" spans="1:15" x14ac:dyDescent="0.25">
      <c r="C195" s="7"/>
      <c r="D195" s="7"/>
      <c r="E195" s="7"/>
      <c r="G195" s="7"/>
      <c r="H195" s="7"/>
    </row>
    <row r="196" spans="1:15" x14ac:dyDescent="0.25">
      <c r="A196" s="2"/>
    </row>
    <row r="197" spans="1:15" x14ac:dyDescent="0.25">
      <c r="A197" s="2"/>
    </row>
    <row r="198" spans="1:15" x14ac:dyDescent="0.25">
      <c r="A198" s="2"/>
      <c r="C198" s="6"/>
      <c r="D198" s="6"/>
      <c r="E198" s="6"/>
      <c r="F198" s="1"/>
      <c r="G198" s="6"/>
      <c r="H198" s="6"/>
      <c r="I198" s="1"/>
      <c r="J198" s="1"/>
      <c r="O198" s="1"/>
    </row>
    <row r="199" spans="1:15" x14ac:dyDescent="0.25">
      <c r="C199" s="7"/>
      <c r="D199" s="7"/>
      <c r="E199" s="7"/>
      <c r="G199" s="7"/>
      <c r="H199" s="7"/>
    </row>
    <row r="200" spans="1:15" x14ac:dyDescent="0.25">
      <c r="A200" s="2"/>
    </row>
    <row r="201" spans="1:15" x14ac:dyDescent="0.25">
      <c r="A201" s="2"/>
    </row>
    <row r="202" spans="1:15" x14ac:dyDescent="0.25">
      <c r="A202" s="2"/>
      <c r="C202" s="6"/>
      <c r="D202" s="6"/>
      <c r="E202" s="6"/>
      <c r="F202" s="1"/>
      <c r="G202" s="6"/>
      <c r="H202" s="6"/>
      <c r="I202" s="1"/>
      <c r="J202" s="1"/>
      <c r="O202" s="1"/>
    </row>
    <row r="204" spans="1:15" x14ac:dyDescent="0.25">
      <c r="C204" s="7"/>
      <c r="D204" s="7"/>
      <c r="E204" s="7"/>
      <c r="G204" s="7"/>
      <c r="H204" s="7"/>
    </row>
    <row r="205" spans="1:15" x14ac:dyDescent="0.25">
      <c r="A205" s="2"/>
    </row>
    <row r="206" spans="1:15" x14ac:dyDescent="0.25">
      <c r="A206" s="2"/>
    </row>
    <row r="207" spans="1:15" x14ac:dyDescent="0.25">
      <c r="A207" s="2"/>
      <c r="C207" s="6"/>
      <c r="D207" s="6"/>
      <c r="E207" s="6"/>
      <c r="F207" s="1"/>
      <c r="G207" s="6"/>
      <c r="H207" s="6"/>
      <c r="I207" s="1"/>
      <c r="J207" s="1"/>
      <c r="O207" s="1"/>
    </row>
    <row r="209" spans="1:15" x14ac:dyDescent="0.25">
      <c r="C209" s="7"/>
      <c r="D209" s="7"/>
      <c r="E209" s="7"/>
      <c r="G209" s="7"/>
      <c r="H209" s="7"/>
    </row>
    <row r="210" spans="1:15" x14ac:dyDescent="0.25">
      <c r="A210" s="2"/>
    </row>
    <row r="211" spans="1:15" x14ac:dyDescent="0.25">
      <c r="A211" s="2"/>
    </row>
    <row r="212" spans="1:15" x14ac:dyDescent="0.25">
      <c r="A212" s="2"/>
      <c r="C212" s="6"/>
      <c r="D212" s="6"/>
      <c r="E212" s="6"/>
      <c r="F212" s="1"/>
      <c r="G212" s="6"/>
      <c r="H212" s="6"/>
      <c r="I212" s="1"/>
      <c r="J212" s="1"/>
      <c r="O212" s="1"/>
    </row>
    <row r="214" spans="1:15" x14ac:dyDescent="0.25">
      <c r="C214" s="7"/>
      <c r="D214" s="7"/>
      <c r="E214" s="7"/>
      <c r="G214" s="7"/>
      <c r="H214" s="7"/>
    </row>
    <row r="215" spans="1:15" x14ac:dyDescent="0.25">
      <c r="A215" s="2"/>
    </row>
    <row r="216" spans="1:15" x14ac:dyDescent="0.25">
      <c r="A216" s="2"/>
    </row>
    <row r="217" spans="1:15" x14ac:dyDescent="0.25">
      <c r="A217" s="2"/>
      <c r="C217" s="6"/>
      <c r="D217" s="6"/>
      <c r="E217" s="6"/>
      <c r="F217" s="1"/>
      <c r="G217" s="6"/>
      <c r="H217" s="6"/>
      <c r="I217" s="1"/>
      <c r="J217" s="1"/>
      <c r="O217" s="1"/>
    </row>
  </sheetData>
  <mergeCells count="4">
    <mergeCell ref="S2:Y2"/>
    <mergeCell ref="J2:Q2"/>
    <mergeCell ref="A2:H2"/>
    <mergeCell ref="A38:Q38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96A9-A631-49E1-89D7-791B3BB9B84C}">
  <dimension ref="A4:G33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3" width="14" bestFit="1" customWidth="1"/>
    <col min="4" max="4" width="15.7109375" bestFit="1" customWidth="1"/>
    <col min="5" max="5" width="9.85546875" style="3" bestFit="1" customWidth="1"/>
    <col min="6" max="6" width="5.5703125" bestFit="1" customWidth="1"/>
    <col min="7" max="7" width="17.5703125" bestFit="1" customWidth="1"/>
  </cols>
  <sheetData>
    <row r="4" spans="1:7" x14ac:dyDescent="0.25">
      <c r="B4" s="4" t="s">
        <v>11</v>
      </c>
      <c r="C4" s="4" t="s">
        <v>75</v>
      </c>
      <c r="D4" s="4" t="s">
        <v>52</v>
      </c>
      <c r="E4" s="3" t="s">
        <v>12</v>
      </c>
      <c r="G4" s="5" t="s">
        <v>49</v>
      </c>
    </row>
    <row r="5" spans="1:7" x14ac:dyDescent="0.25">
      <c r="A5" t="str">
        <f>Custom!A5</f>
        <v>Woodcutting Post</v>
      </c>
      <c r="B5" s="4">
        <f>Custom!K5-Standard!K5</f>
        <v>528.54999999999995</v>
      </c>
      <c r="C5" s="4">
        <f>Custom!L5-Standard!L5</f>
        <v>37.770454545454541</v>
      </c>
      <c r="D5" s="4">
        <f>Custom!M5-Standard!M5</f>
        <v>37.770454545454541</v>
      </c>
      <c r="E5" s="3">
        <f>Custom!N5-Standard!N5</f>
        <v>0</v>
      </c>
      <c r="F5" s="4"/>
      <c r="G5" s="7">
        <f>Custom!Q5-Standard!Q5</f>
        <v>-54.965274545587917</v>
      </c>
    </row>
    <row r="6" spans="1:7" x14ac:dyDescent="0.25">
      <c r="A6" t="str">
        <f>Custom!A6</f>
        <v>Sawmill</v>
      </c>
      <c r="B6" s="4">
        <f>Custom!K6-Standard!K6</f>
        <v>-892.17400000000043</v>
      </c>
      <c r="C6" s="4">
        <f>Custom!L6-Standard!L6</f>
        <v>82.092100000000016</v>
      </c>
      <c r="D6" s="4">
        <f>Custom!M6-Standard!M6</f>
        <v>-36.247400000000013</v>
      </c>
      <c r="E6" s="3">
        <f>Custom!N6-Standard!N6</f>
        <v>-0.19762456751861246</v>
      </c>
      <c r="F6" s="4"/>
      <c r="G6" s="7">
        <f>Custom!Q6-Standard!Q6</f>
        <v>1222.9938751075265</v>
      </c>
    </row>
    <row r="7" spans="1:7" x14ac:dyDescent="0.25">
      <c r="A7" t="str">
        <f>Custom!A7</f>
        <v>Farm</v>
      </c>
      <c r="B7" s="4">
        <f>Custom!K7-Standard!K7</f>
        <v>80.361000000000004</v>
      </c>
      <c r="C7" s="4">
        <f>Custom!L7-Standard!L7</f>
        <v>80.361000000000004</v>
      </c>
      <c r="D7" s="4">
        <f>Custom!M7-Standard!M7</f>
        <v>80.361000000000004</v>
      </c>
      <c r="E7" s="3">
        <f>Custom!N7-Standard!N7</f>
        <v>0</v>
      </c>
      <c r="F7" s="4"/>
      <c r="G7" s="7">
        <f>Custom!Q7-Standard!Q7</f>
        <v>-109.48613609129288</v>
      </c>
    </row>
    <row r="8" spans="1:7" x14ac:dyDescent="0.25">
      <c r="A8" t="str">
        <f>Custom!A8</f>
        <v>Iron Mine</v>
      </c>
      <c r="B8" s="4">
        <f>Custom!K8-Standard!K8</f>
        <v>8377.8250000000007</v>
      </c>
      <c r="C8" s="4">
        <f>Custom!L8-Standard!L8</f>
        <v>56.010369318181816</v>
      </c>
      <c r="D8" s="4">
        <f>Custom!M8-Standard!M8</f>
        <v>56.010369318181816</v>
      </c>
      <c r="E8" s="3">
        <f>Custom!N8-Standard!N8</f>
        <v>0</v>
      </c>
      <c r="F8" s="4"/>
      <c r="G8" s="7">
        <f>Custom!Q8-Standard!Q8</f>
        <v>910.65528766821205</v>
      </c>
    </row>
    <row r="9" spans="1:7" x14ac:dyDescent="0.25">
      <c r="A9" t="str">
        <f>Custom!A9</f>
        <v>Iron Processing</v>
      </c>
      <c r="B9" s="4">
        <f>Custom!K9-Standard!K9</f>
        <v>2807.3989999999999</v>
      </c>
      <c r="C9" s="4">
        <f>Custom!L9-Standard!L9</f>
        <v>590.53463636363631</v>
      </c>
      <c r="D9" s="4">
        <f>Custom!M9-Standard!M9</f>
        <v>250.14172727272725</v>
      </c>
      <c r="E9" s="3">
        <f>Custom!N9-Standard!N9</f>
        <v>0.35043033210186403</v>
      </c>
      <c r="F9" s="4"/>
      <c r="G9" s="7">
        <f>Custom!Q9-Standard!Q9</f>
        <v>919.37699148956312</v>
      </c>
    </row>
    <row r="10" spans="1:7" x14ac:dyDescent="0.25">
      <c r="A10" t="str">
        <f>Custom!A10</f>
        <v>Steel Mill</v>
      </c>
      <c r="B10" s="4">
        <f>Custom!K10-Standard!K10</f>
        <v>-30490.559999999998</v>
      </c>
      <c r="C10" s="4">
        <f>Custom!L10-Standard!L10</f>
        <v>-5.7686004424778616</v>
      </c>
      <c r="D10" s="4">
        <f>Custom!M10-Standard!M10</f>
        <v>-69.009844247787612</v>
      </c>
      <c r="E10" s="3">
        <f>Custom!N10-Standard!N10</f>
        <v>-0.81490670007898514</v>
      </c>
      <c r="F10" s="4"/>
      <c r="G10" s="7">
        <f>Custom!Q10-Standard!Q10</f>
        <v>-2789.0411067716987</v>
      </c>
    </row>
    <row r="11" spans="1:7" x14ac:dyDescent="0.25">
      <c r="A11" t="str">
        <f>Custom!A11</f>
        <v>Coal Mine</v>
      </c>
      <c r="B11" s="4">
        <f>Custom!K11-Standard!K11</f>
        <v>-3544.0079999999989</v>
      </c>
      <c r="C11" s="4">
        <f>Custom!L11-Standard!L11</f>
        <v>-12.259874999999997</v>
      </c>
      <c r="D11" s="4">
        <f>Custom!M11-Standard!M11</f>
        <v>-12.259874999999997</v>
      </c>
      <c r="E11" s="3">
        <f>Custom!N11-Standard!N11</f>
        <v>0</v>
      </c>
      <c r="F11" s="4"/>
      <c r="G11" s="7">
        <f>Custom!Q11-Standard!Q11</f>
        <v>2698.3768635173401</v>
      </c>
    </row>
    <row r="12" spans="1:7" x14ac:dyDescent="0.25">
      <c r="A12" t="str">
        <f>Custom!A12</f>
        <v>Coal Processing</v>
      </c>
      <c r="B12" s="4">
        <f>Custom!K12-Standard!K12</f>
        <v>-5251.7820000000002</v>
      </c>
      <c r="C12" s="4">
        <f>Custom!L12-Standard!L12</f>
        <v>-522.09914285714285</v>
      </c>
      <c r="D12" s="4">
        <f>Custom!M12-Standard!M12</f>
        <v>-382.87914285714282</v>
      </c>
      <c r="E12" s="3">
        <f>Custom!N12-Standard!N12</f>
        <v>-0.27252328847674512</v>
      </c>
      <c r="F12" s="4"/>
      <c r="G12" s="7">
        <f>Custom!Q12-Standard!Q12</f>
        <v>1783.5891158695736</v>
      </c>
    </row>
    <row r="13" spans="1:7" x14ac:dyDescent="0.25">
      <c r="A13" t="str">
        <f>Custom!A13</f>
        <v>Brick Factory</v>
      </c>
      <c r="B13" s="4">
        <f>Custom!K13-Standard!K13</f>
        <v>-1733.6459999999997</v>
      </c>
      <c r="C13" s="4">
        <f>Custom!L13-Standard!L13</f>
        <v>-8.8972163265306108</v>
      </c>
      <c r="D13" s="4">
        <f>Custom!M13-Standard!M13</f>
        <v>-16.700608163265304</v>
      </c>
      <c r="E13" s="3">
        <f>Custom!N13-Standard!N13</f>
        <v>-0.45745626667211964</v>
      </c>
      <c r="F13" s="4"/>
      <c r="G13" s="7">
        <f>Custom!Q13-Standard!Q13</f>
        <v>-1723.3124225975803</v>
      </c>
    </row>
    <row r="14" spans="1:7" x14ac:dyDescent="0.25">
      <c r="A14" t="str">
        <f>Custom!A14</f>
        <v>Coal Power Plant</v>
      </c>
      <c r="B14" s="4">
        <f>Custom!K14-Standard!K14</f>
        <v>-1456.576</v>
      </c>
      <c r="C14" s="4">
        <f>Custom!L14-Standard!L14</f>
        <v>-168.75191666666666</v>
      </c>
      <c r="D14" s="4">
        <f>Custom!M14-Standard!M14</f>
        <v>-92.294666666666657</v>
      </c>
      <c r="E14" s="3">
        <f>Custom!N14-Standard!N14</f>
        <v>2.958398530675721E-2</v>
      </c>
      <c r="F14" s="4"/>
      <c r="G14" s="7">
        <f>Custom!Q14-Standard!Q14</f>
        <v>2577.1091365399038</v>
      </c>
    </row>
    <row r="15" spans="1:7" x14ac:dyDescent="0.25">
      <c r="A15" t="str">
        <f>Custom!A15</f>
        <v>Quarry</v>
      </c>
      <c r="B15" s="4">
        <f>Custom!K15-Standard!K15</f>
        <v>884.33979999999997</v>
      </c>
      <c r="C15" s="4">
        <f>Custom!L15-Standard!L15</f>
        <v>22.715764102564101</v>
      </c>
      <c r="D15" s="4">
        <f>Custom!M15-Standard!M15</f>
        <v>22.715764102564101</v>
      </c>
      <c r="E15" s="3">
        <f>Custom!N15-Standard!N15</f>
        <v>0</v>
      </c>
      <c r="F15" s="4"/>
      <c r="G15" s="7">
        <f>Custom!Q15-Standard!Q15</f>
        <v>-2571.8085384069136</v>
      </c>
    </row>
    <row r="16" spans="1:7" x14ac:dyDescent="0.25">
      <c r="A16" t="str">
        <f>Custom!A16</f>
        <v>Gravel Processing</v>
      </c>
      <c r="B16" s="4">
        <f>Custom!K16-Standard!K16</f>
        <v>993.76429999999948</v>
      </c>
      <c r="C16" s="4">
        <f>Custom!L16-Standard!L16</f>
        <v>95.817619999999977</v>
      </c>
      <c r="D16" s="4">
        <f>Custom!M16-Standard!M16</f>
        <v>66.2509533333333</v>
      </c>
      <c r="E16" s="3">
        <f>Custom!N16-Standard!N16</f>
        <v>1.7900944965457424</v>
      </c>
      <c r="F16" s="4"/>
      <c r="G16" s="7">
        <f>Custom!Q16-Standard!Q16</f>
        <v>7711.0127827338929</v>
      </c>
    </row>
    <row r="17" spans="1:7" x14ac:dyDescent="0.25">
      <c r="A17" t="str">
        <f>Custom!A17</f>
        <v>Cement Plant</v>
      </c>
      <c r="B17" s="4">
        <f>Custom!K17-Standard!K17</f>
        <v>-3559.1795000000002</v>
      </c>
      <c r="C17" s="4">
        <f>Custom!L17-Standard!L17</f>
        <v>1.4971499999999764</v>
      </c>
      <c r="D17" s="4">
        <f>Custom!M17-Standard!M17</f>
        <v>-189.41397499999999</v>
      </c>
      <c r="E17" s="3">
        <f>Custom!N17-Standard!N17</f>
        <v>-1.0038801558061428</v>
      </c>
      <c r="F17" s="4"/>
      <c r="G17" s="7">
        <f>Custom!Q17-Standard!Q17</f>
        <v>-777.47694511288182</v>
      </c>
    </row>
    <row r="18" spans="1:7" x14ac:dyDescent="0.25">
      <c r="A18" t="str">
        <f>Custom!A18</f>
        <v>Concrete Plant</v>
      </c>
      <c r="B18" s="4">
        <f>Custom!K18-Standard!K18</f>
        <v>-2761.4510000000009</v>
      </c>
      <c r="C18" s="4">
        <f>Custom!L18-Standard!L18</f>
        <v>220.78599999999994</v>
      </c>
      <c r="D18" s="4">
        <f>Custom!M18-Standard!M18</f>
        <v>-843.13275000000021</v>
      </c>
      <c r="E18" s="3">
        <f>Custom!N18-Standard!N18</f>
        <v>-0.81480349742068592</v>
      </c>
      <c r="F18" s="4"/>
      <c r="G18" s="7">
        <f>Custom!Q18-Standard!Q18</f>
        <v>-17.07275118253817</v>
      </c>
    </row>
    <row r="19" spans="1:7" x14ac:dyDescent="0.25">
      <c r="A19" t="str">
        <f>Custom!A19</f>
        <v>Oil Rig</v>
      </c>
      <c r="B19" s="4">
        <f>Custom!K19-Standard!K19</f>
        <v>-148.06299999999999</v>
      </c>
      <c r="C19" s="4">
        <f>Custom!L19-Standard!L19</f>
        <v>-168.34300000000002</v>
      </c>
      <c r="D19" s="4">
        <f>Custom!M19-Standard!M19</f>
        <v>-148.06299999999999</v>
      </c>
      <c r="E19" s="3">
        <f>Custom!N19-Standard!N19</f>
        <v>5.7919689267150409E-2</v>
      </c>
      <c r="F19" s="4"/>
      <c r="G19" s="7">
        <f>Custom!Q19-Standard!Q19</f>
        <v>20.781073030720197</v>
      </c>
    </row>
    <row r="20" spans="1:7" x14ac:dyDescent="0.25">
      <c r="A20" t="str">
        <f>Custom!A20</f>
        <v>Oil Refinery</v>
      </c>
      <c r="B20" s="4">
        <f>Custom!K20-Standard!K20</f>
        <v>-7885.0280000000002</v>
      </c>
      <c r="C20" s="4">
        <f>Custom!L20-Standard!L20</f>
        <v>-8.5580956719817749</v>
      </c>
      <c r="D20" s="4">
        <f>Custom!M20-Standard!M20</f>
        <v>-12.05334350797267</v>
      </c>
      <c r="E20" s="3">
        <f>Custom!N20-Standard!N20</f>
        <v>-0.10802928625826203</v>
      </c>
      <c r="F20" s="4"/>
      <c r="G20" s="7">
        <f>Custom!Q20-Standard!Q20</f>
        <v>9646.8353369849392</v>
      </c>
    </row>
    <row r="21" spans="1:7" x14ac:dyDescent="0.25">
      <c r="A21" t="str">
        <f>Custom!A21</f>
        <v>Asphalt Plant</v>
      </c>
      <c r="B21" s="4">
        <f>Custom!K21-Standard!K21</f>
        <v>-8456.6815999999999</v>
      </c>
      <c r="C21" s="4">
        <f>Custom!L21-Standard!L21</f>
        <v>791.75999999999988</v>
      </c>
      <c r="D21" s="4">
        <f>Custom!M21-Standard!M21</f>
        <v>-2243.2279000000003</v>
      </c>
      <c r="E21" s="3">
        <f>Custom!N21-Standard!N21</f>
        <v>-1.027260928095417</v>
      </c>
      <c r="F21" s="4"/>
      <c r="G21" s="7">
        <f>Custom!Q21-Standard!Q21</f>
        <v>-6.0588551206829706</v>
      </c>
    </row>
    <row r="22" spans="1:7" x14ac:dyDescent="0.25">
      <c r="A22" t="str">
        <f>Custom!A22</f>
        <v>Livestock Farm</v>
      </c>
      <c r="B22" s="4">
        <f>Custom!K22-Standard!K22</f>
        <v>-7738.1106</v>
      </c>
      <c r="C22" s="4">
        <f>Custom!L22-Standard!L22</f>
        <v>-137.81457142857144</v>
      </c>
      <c r="D22" s="4">
        <f>Custom!M22-Standard!M22</f>
        <v>-140.09437142857143</v>
      </c>
      <c r="E22" s="3">
        <f>Custom!N22-Standard!N22</f>
        <v>-0.25875495281993088</v>
      </c>
      <c r="F22" s="4"/>
      <c r="G22" s="7">
        <f>Custom!Q22-Standard!Q22</f>
        <v>2783.9980750263876</v>
      </c>
    </row>
    <row r="23" spans="1:7" x14ac:dyDescent="0.25">
      <c r="A23" t="str">
        <f>Custom!A23</f>
        <v>Slaughterhouse</v>
      </c>
      <c r="B23" s="4">
        <f>Custom!K23-Standard!K23</f>
        <v>136915.20000000001</v>
      </c>
      <c r="C23" s="4">
        <f>Custom!L23-Standard!L23</f>
        <v>-4644.0733333333328</v>
      </c>
      <c r="D23" s="4">
        <f>Custom!M23-Standard!M23</f>
        <v>-71.983333333333576</v>
      </c>
      <c r="E23" s="3">
        <f>Custom!N23-Standard!N23</f>
        <v>-2.0745729753665194</v>
      </c>
      <c r="F23" s="4"/>
      <c r="G23" s="7">
        <f>Custom!Q23-Standard!Q23</f>
        <v>-9.8224695282715295</v>
      </c>
    </row>
    <row r="24" spans="1:7" x14ac:dyDescent="0.25">
      <c r="A24" t="str">
        <f>Custom!A24</f>
        <v>Food Factory</v>
      </c>
      <c r="B24" s="4">
        <f>Custom!K24-Standard!K24</f>
        <v>11679.486799999999</v>
      </c>
      <c r="C24" s="4">
        <f>Custom!L24-Standard!L24</f>
        <v>66.889778585591529</v>
      </c>
      <c r="D24" s="4">
        <f>Custom!M24-Standard!M24</f>
        <v>65.27122128222075</v>
      </c>
      <c r="E24" s="3">
        <f>Custom!N24-Standard!N24</f>
        <v>0.33477072708723976</v>
      </c>
      <c r="F24" s="4"/>
      <c r="G24" s="7">
        <f>Custom!Q24-Standard!Q24</f>
        <v>437.2340787467167</v>
      </c>
    </row>
    <row r="25" spans="1:7" x14ac:dyDescent="0.25">
      <c r="A25" t="str">
        <f>Custom!A25</f>
        <v>Distillery</v>
      </c>
      <c r="B25" s="4">
        <f>Custom!K25-Standard!K25</f>
        <v>3052.1980000000003</v>
      </c>
      <c r="C25" s="4">
        <f>Custom!L25-Standard!L25</f>
        <v>42.784600000000005</v>
      </c>
      <c r="D25" s="4">
        <f>Custom!M25-Standard!M25</f>
        <v>39.839575000000004</v>
      </c>
      <c r="E25" s="3">
        <f>Custom!N25-Standard!N25</f>
        <v>0.34141873143513052</v>
      </c>
      <c r="F25" s="4"/>
      <c r="G25" s="7">
        <f>Custom!Q25-Standard!Q25</f>
        <v>198.61148314010529</v>
      </c>
    </row>
    <row r="26" spans="1:7" x14ac:dyDescent="0.25">
      <c r="B26" s="4"/>
      <c r="C26" s="4"/>
      <c r="D26" s="4"/>
      <c r="F26" s="4"/>
      <c r="G26" s="7"/>
    </row>
    <row r="27" spans="1:7" x14ac:dyDescent="0.25">
      <c r="B27" s="4"/>
      <c r="C27" s="4"/>
      <c r="D27" s="4"/>
      <c r="F27" s="4"/>
      <c r="G27" s="7"/>
    </row>
    <row r="28" spans="1:7" x14ac:dyDescent="0.25">
      <c r="A28" t="str">
        <f>Custom!A28</f>
        <v>Fabric Factory</v>
      </c>
      <c r="B28" s="4">
        <f>Custom!K28-Standard!K28</f>
        <v>-765.90010000000018</v>
      </c>
      <c r="C28" s="4">
        <f>Custom!L28-Standard!L28</f>
        <v>-7.2780555555555555</v>
      </c>
      <c r="D28" s="4">
        <f>Custom!M28-Standard!M28</f>
        <v>-16.713407777777782</v>
      </c>
      <c r="E28" s="3">
        <f>Custom!N28-Standard!N28</f>
        <v>-1.7411970420796952</v>
      </c>
      <c r="F28" s="4"/>
      <c r="G28" s="7">
        <f>Custom!Q28-Standard!Q28</f>
        <v>-18752.362458166768</v>
      </c>
    </row>
    <row r="29" spans="1:7" x14ac:dyDescent="0.25">
      <c r="B29" s="4"/>
      <c r="C29" s="4"/>
      <c r="D29" s="4"/>
      <c r="F29" s="4"/>
      <c r="G29" s="7"/>
    </row>
    <row r="30" spans="1:7" x14ac:dyDescent="0.25">
      <c r="B30" s="4"/>
      <c r="C30" s="4"/>
      <c r="D30" s="4"/>
      <c r="F30" s="4"/>
      <c r="G30" s="7"/>
    </row>
    <row r="31" spans="1:7" x14ac:dyDescent="0.25">
      <c r="A31" t="str">
        <f>Custom!A31</f>
        <v>Clothing Factory</v>
      </c>
      <c r="B31" s="4">
        <f>Custom!K31-Standard!K31</f>
        <v>-1091.5289999999995</v>
      </c>
      <c r="C31" s="4">
        <f>Custom!L31-Standard!L31</f>
        <v>5.9284500000000051</v>
      </c>
      <c r="D31" s="4">
        <f>Custom!M31-Standard!M31</f>
        <v>-17.934749999999994</v>
      </c>
      <c r="E31" s="3">
        <f>Custom!N31-Standard!N31</f>
        <v>-0.74872217308913069</v>
      </c>
      <c r="F31" s="4"/>
      <c r="G31" s="7">
        <f>Custom!Q31-Standard!Q31</f>
        <v>-6857.4746298145019</v>
      </c>
    </row>
    <row r="32" spans="1:7" x14ac:dyDescent="0.25">
      <c r="B32" s="4"/>
      <c r="C32" s="4"/>
      <c r="D32" s="4"/>
      <c r="F32" s="4"/>
      <c r="G32" s="7"/>
    </row>
    <row r="33" spans="1:7" x14ac:dyDescent="0.25">
      <c r="A33" t="str">
        <f>Custom!A33</f>
        <v>Prefab Factory</v>
      </c>
      <c r="B33" s="4">
        <f>Custom!K33-Standard!K33</f>
        <v>-70.031500000000278</v>
      </c>
      <c r="C33" s="4">
        <f>Custom!L33-Standard!L33</f>
        <v>16.135772727272723</v>
      </c>
      <c r="D33" s="4">
        <f>Custom!M33-Standard!M33</f>
        <v>-0.99568939393939804</v>
      </c>
      <c r="E33" s="3">
        <f>Custom!N33-Standard!N33</f>
        <v>3.875265234559519E-2</v>
      </c>
      <c r="F33" s="4"/>
      <c r="G33" s="7">
        <f>Custom!Q33-Standard!Q33</f>
        <v>-5976.2514553936408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Default</vt:lpstr>
      <vt:lpstr>Standard</vt:lpstr>
      <vt:lpstr>Nerfed</vt:lpstr>
      <vt:lpstr>Custom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2019-05-30T00:46:01Z</dcterms:created>
  <dcterms:modified xsi:type="dcterms:W3CDTF">2019-06-02T14:34:00Z</dcterms:modified>
</cp:coreProperties>
</file>