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Documents/GitHub/application/data/"/>
    </mc:Choice>
  </mc:AlternateContent>
  <xr:revisionPtr revIDLastSave="0" documentId="13_ncr:1_{9515AB10-0E46-CC45-A3F5-63252A081F2C}" xr6:coauthVersionLast="47" xr6:coauthVersionMax="47" xr10:uidLastSave="{00000000-0000-0000-0000-000000000000}"/>
  <bookViews>
    <workbookView xWindow="3920" yWindow="500" windowWidth="32920" windowHeight="15840" activeTab="2" xr2:uid="{00000000-000D-0000-FFFF-FFFF00000000}"/>
  </bookViews>
  <sheets>
    <sheet name="Ausreißer entfernen" sheetId="20" state="hidden" r:id="rId1"/>
    <sheet name="Kontrolle" sheetId="4" state="hidden" r:id="rId2"/>
    <sheet name="Tabelle1" sheetId="21" r:id="rId3"/>
    <sheet name="Versuchsdurchführung" sheetId="13" state="hidden" r:id="rId4"/>
    <sheet name="Theoretische Eisenzufuhr und pH" sheetId="11" state="hidden" r:id="rId5"/>
    <sheet name="EDDHA02" sheetId="1" state="hidden" r:id="rId6"/>
    <sheet name="EDDHA03" sheetId="2" state="hidden" r:id="rId7"/>
    <sheet name="EDDHA04" sheetId="3" state="hidden" r:id="rId8"/>
    <sheet name="FESO402" sheetId="5" state="hidden" r:id="rId9"/>
    <sheet name="FESO403" sheetId="6" state="hidden" r:id="rId10"/>
    <sheet name="FESO404" sheetId="7" state="hidden" r:id="rId11"/>
    <sheet name="EDDHA032x" sheetId="8" state="hidden" r:id="rId12"/>
    <sheet name="FESO4032x" sheetId="9" state="hidden" r:id="rId13"/>
    <sheet name="Ergebnisse Vorversuch" sheetId="10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3" l="1"/>
  <c r="G25" i="13"/>
  <c r="G26" i="13"/>
  <c r="G23" i="13"/>
  <c r="G20" i="13"/>
  <c r="G21" i="13"/>
  <c r="G22" i="13"/>
  <c r="G19" i="13"/>
  <c r="G16" i="13"/>
  <c r="G17" i="13"/>
  <c r="G18" i="13"/>
  <c r="G15" i="13"/>
  <c r="G12" i="13"/>
  <c r="G13" i="13"/>
  <c r="G14" i="13"/>
  <c r="G11" i="13"/>
  <c r="O52" i="10"/>
  <c r="O51" i="10"/>
  <c r="P50" i="10"/>
  <c r="O50" i="10"/>
  <c r="N50" i="10"/>
  <c r="M50" i="10"/>
  <c r="L50" i="10"/>
  <c r="K50" i="10"/>
  <c r="J50" i="10"/>
  <c r="I50" i="10"/>
  <c r="O46" i="10"/>
  <c r="O45" i="10"/>
  <c r="P44" i="10"/>
  <c r="O44" i="10"/>
  <c r="N44" i="10"/>
  <c r="M44" i="10"/>
  <c r="L44" i="10"/>
  <c r="K44" i="10"/>
  <c r="J44" i="10"/>
  <c r="I44" i="10"/>
  <c r="O40" i="10"/>
  <c r="O39" i="10"/>
  <c r="P38" i="10"/>
  <c r="O38" i="10"/>
  <c r="N38" i="10"/>
  <c r="M38" i="10"/>
  <c r="L38" i="10"/>
  <c r="K38" i="10"/>
  <c r="J38" i="10"/>
  <c r="I38" i="10"/>
  <c r="O33" i="10"/>
  <c r="P32" i="10"/>
  <c r="O32" i="10"/>
  <c r="N32" i="10"/>
  <c r="M32" i="10"/>
  <c r="L32" i="10"/>
  <c r="K32" i="10"/>
  <c r="J32" i="10"/>
  <c r="I32" i="10"/>
  <c r="O28" i="10"/>
  <c r="O27" i="10"/>
  <c r="O26" i="10"/>
  <c r="O25" i="10"/>
  <c r="O21" i="10"/>
  <c r="O20" i="10"/>
  <c r="O18" i="10"/>
  <c r="O14" i="10"/>
  <c r="O13" i="10"/>
  <c r="O12" i="10"/>
  <c r="O11" i="10"/>
  <c r="O7" i="10"/>
  <c r="O6" i="10"/>
  <c r="O5" i="10"/>
  <c r="O4" i="10"/>
  <c r="K52" i="11"/>
  <c r="J52" i="11"/>
  <c r="I52" i="11"/>
  <c r="H52" i="11"/>
  <c r="G52" i="11"/>
  <c r="F52" i="11"/>
  <c r="E52" i="11"/>
  <c r="D52" i="11"/>
  <c r="C52" i="11"/>
  <c r="K51" i="11"/>
  <c r="J51" i="11"/>
  <c r="I51" i="11"/>
  <c r="H51" i="11"/>
  <c r="G51" i="11"/>
  <c r="F51" i="11"/>
  <c r="E51" i="11"/>
  <c r="D51" i="11"/>
  <c r="C51" i="11"/>
  <c r="K36" i="11"/>
  <c r="J36" i="11"/>
  <c r="I36" i="11"/>
  <c r="H36" i="11"/>
  <c r="G36" i="11"/>
  <c r="F36" i="11"/>
  <c r="E36" i="11"/>
  <c r="D36" i="11"/>
  <c r="C36" i="11"/>
  <c r="K35" i="11"/>
  <c r="J35" i="11"/>
  <c r="I35" i="11"/>
  <c r="H35" i="11"/>
  <c r="G35" i="11"/>
  <c r="F35" i="11"/>
  <c r="E35" i="11"/>
  <c r="D35" i="11"/>
  <c r="C35" i="11"/>
  <c r="E20" i="11"/>
  <c r="J12" i="11"/>
  <c r="I12" i="11"/>
  <c r="G12" i="11"/>
  <c r="F12" i="11"/>
  <c r="D12" i="11"/>
  <c r="J11" i="11"/>
  <c r="I11" i="11"/>
  <c r="G11" i="11"/>
  <c r="F11" i="11"/>
  <c r="E11" i="11"/>
  <c r="K11" i="11" s="1"/>
  <c r="D11" i="11"/>
  <c r="C11" i="11"/>
  <c r="J10" i="11"/>
  <c r="I10" i="11"/>
  <c r="H10" i="11"/>
  <c r="G10" i="11"/>
  <c r="F10" i="11"/>
  <c r="E10" i="11"/>
  <c r="K10" i="11" s="1"/>
  <c r="D10" i="11"/>
  <c r="C10" i="11"/>
  <c r="C12" i="11" s="1"/>
  <c r="E12" i="11" s="1"/>
  <c r="J9" i="11"/>
  <c r="I9" i="11"/>
  <c r="G9" i="11"/>
  <c r="F9" i="11"/>
  <c r="E9" i="11"/>
  <c r="K9" i="11" s="1"/>
  <c r="D9" i="11"/>
  <c r="C9" i="11"/>
  <c r="J8" i="11"/>
  <c r="I8" i="11"/>
  <c r="G8" i="11"/>
  <c r="F8" i="11"/>
  <c r="D8" i="11"/>
  <c r="J7" i="11"/>
  <c r="I7" i="11"/>
  <c r="G7" i="11"/>
  <c r="F7" i="11"/>
  <c r="E7" i="11"/>
  <c r="K7" i="11" s="1"/>
  <c r="D7" i="11"/>
  <c r="C7" i="11"/>
  <c r="J6" i="11"/>
  <c r="I6" i="11"/>
  <c r="H6" i="11"/>
  <c r="G6" i="11"/>
  <c r="F6" i="11"/>
  <c r="E6" i="11"/>
  <c r="K6" i="11" s="1"/>
  <c r="D6" i="11"/>
  <c r="C6" i="11"/>
  <c r="C8" i="11" s="1"/>
  <c r="E8" i="11" s="1"/>
  <c r="J5" i="11"/>
  <c r="I5" i="11"/>
  <c r="G5" i="11"/>
  <c r="F5" i="11"/>
  <c r="E5" i="11"/>
  <c r="K5" i="11" s="1"/>
  <c r="D5" i="11"/>
  <c r="C5" i="11"/>
  <c r="J4" i="11"/>
  <c r="I4" i="11"/>
  <c r="G4" i="11"/>
  <c r="F4" i="11"/>
  <c r="E87" i="13"/>
  <c r="C87" i="13"/>
  <c r="J26" i="13"/>
  <c r="I26" i="13"/>
  <c r="H26" i="13"/>
  <c r="E26" i="13"/>
  <c r="D26" i="13"/>
  <c r="A26" i="13"/>
  <c r="J25" i="13"/>
  <c r="I25" i="13"/>
  <c r="H25" i="13"/>
  <c r="E25" i="13"/>
  <c r="D25" i="13"/>
  <c r="A25" i="13"/>
  <c r="J24" i="13"/>
  <c r="I24" i="13"/>
  <c r="H24" i="13"/>
  <c r="E24" i="13"/>
  <c r="D24" i="13"/>
  <c r="A24" i="13"/>
  <c r="I23" i="13"/>
  <c r="H23" i="13"/>
  <c r="E23" i="13"/>
  <c r="D23" i="13"/>
  <c r="A23" i="13"/>
  <c r="I22" i="13"/>
  <c r="H22" i="13"/>
  <c r="E22" i="13"/>
  <c r="D22" i="13"/>
  <c r="A22" i="13"/>
  <c r="I21" i="13"/>
  <c r="H21" i="13"/>
  <c r="E21" i="13"/>
  <c r="D21" i="13"/>
  <c r="A21" i="13"/>
  <c r="I20" i="13"/>
  <c r="H20" i="13"/>
  <c r="E20" i="13"/>
  <c r="D20" i="13"/>
  <c r="A20" i="13"/>
  <c r="I19" i="13"/>
  <c r="H19" i="13"/>
  <c r="E19" i="13"/>
  <c r="D19" i="13"/>
  <c r="B19" i="13"/>
  <c r="A19" i="13"/>
  <c r="I18" i="13"/>
  <c r="J18" i="13" s="1"/>
  <c r="H18" i="13"/>
  <c r="E18" i="13"/>
  <c r="D18" i="13"/>
  <c r="A18" i="13"/>
  <c r="I17" i="13"/>
  <c r="J17" i="13" s="1"/>
  <c r="H17" i="13"/>
  <c r="E17" i="13"/>
  <c r="D17" i="13"/>
  <c r="A17" i="13"/>
  <c r="I16" i="13"/>
  <c r="J16" i="13" s="1"/>
  <c r="H16" i="13"/>
  <c r="E16" i="13"/>
  <c r="D16" i="13"/>
  <c r="A16" i="13"/>
  <c r="I15" i="13"/>
  <c r="H15" i="13"/>
  <c r="E15" i="13"/>
  <c r="D15" i="13"/>
  <c r="B15" i="13"/>
  <c r="A15" i="13"/>
  <c r="I14" i="13"/>
  <c r="H14" i="13"/>
  <c r="E14" i="13"/>
  <c r="D14" i="13"/>
  <c r="A14" i="13"/>
  <c r="I13" i="13"/>
  <c r="H13" i="13"/>
  <c r="E13" i="13"/>
  <c r="D13" i="13"/>
  <c r="A13" i="13"/>
  <c r="I12" i="13"/>
  <c r="H12" i="13"/>
  <c r="E12" i="13"/>
  <c r="D12" i="13"/>
  <c r="A12" i="13"/>
  <c r="I11" i="13"/>
  <c r="H11" i="13"/>
  <c r="E11" i="13"/>
  <c r="D11" i="13"/>
  <c r="B11" i="13"/>
  <c r="P51" i="10"/>
  <c r="N51" i="10"/>
  <c r="M51" i="10"/>
  <c r="P52" i="10"/>
  <c r="N52" i="10"/>
  <c r="M52" i="10"/>
  <c r="P28" i="10"/>
  <c r="M28" i="10"/>
  <c r="P27" i="10"/>
  <c r="N27" i="10"/>
  <c r="M27" i="10"/>
  <c r="P26" i="10"/>
  <c r="N26" i="10"/>
  <c r="M26" i="10"/>
  <c r="P25" i="10"/>
  <c r="N25" i="10"/>
  <c r="M25" i="10"/>
  <c r="P45" i="10"/>
  <c r="N45" i="10"/>
  <c r="M45" i="10"/>
  <c r="P46" i="10"/>
  <c r="N46" i="10"/>
  <c r="M46" i="10"/>
  <c r="P21" i="10"/>
  <c r="N21" i="10"/>
  <c r="M21" i="10"/>
  <c r="P20" i="10"/>
  <c r="N20" i="10"/>
  <c r="M20" i="10"/>
  <c r="P19" i="10"/>
  <c r="N19" i="10"/>
  <c r="M19" i="10"/>
  <c r="P18" i="10"/>
  <c r="N18" i="10"/>
  <c r="M18" i="10"/>
  <c r="P39" i="10"/>
  <c r="N39" i="10"/>
  <c r="M39" i="10"/>
  <c r="P40" i="10"/>
  <c r="N40" i="10"/>
  <c r="M40" i="10"/>
  <c r="P14" i="10"/>
  <c r="P13" i="10"/>
  <c r="N13" i="10"/>
  <c r="M13" i="10"/>
  <c r="P12" i="10"/>
  <c r="N12" i="10"/>
  <c r="M12" i="10"/>
  <c r="P11" i="10"/>
  <c r="N11" i="10"/>
  <c r="M11" i="10"/>
  <c r="P33" i="10"/>
  <c r="N33" i="10"/>
  <c r="M33" i="10"/>
  <c r="P34" i="10"/>
  <c r="N34" i="10"/>
  <c r="M34" i="10"/>
  <c r="P7" i="10"/>
  <c r="P6" i="10"/>
  <c r="N6" i="10"/>
  <c r="M6" i="10"/>
  <c r="P5" i="10"/>
  <c r="N5" i="10"/>
  <c r="M5" i="10"/>
  <c r="P4" i="10"/>
  <c r="N4" i="10"/>
  <c r="M4" i="10"/>
  <c r="Y37" i="20"/>
  <c r="X37" i="20"/>
  <c r="N37" i="20"/>
  <c r="M37" i="20"/>
  <c r="E37" i="20"/>
  <c r="C37" i="20"/>
  <c r="B37" i="20"/>
  <c r="Y36" i="20"/>
  <c r="X36" i="20"/>
  <c r="N36" i="20"/>
  <c r="M36" i="20"/>
  <c r="E36" i="20"/>
  <c r="C36" i="20"/>
  <c r="B36" i="20"/>
  <c r="Y35" i="20"/>
  <c r="X35" i="20"/>
  <c r="N35" i="20"/>
  <c r="M35" i="20"/>
  <c r="C35" i="20"/>
  <c r="B35" i="20"/>
  <c r="Y34" i="20"/>
  <c r="X34" i="20"/>
  <c r="W34" i="20"/>
  <c r="N34" i="20"/>
  <c r="R34" i="20" s="1"/>
  <c r="O37" i="20" s="1"/>
  <c r="M34" i="20"/>
  <c r="L34" i="20"/>
  <c r="C34" i="20"/>
  <c r="G34" i="20" s="1"/>
  <c r="B34" i="20"/>
  <c r="A34" i="20"/>
  <c r="Y33" i="20"/>
  <c r="X33" i="20"/>
  <c r="N33" i="20"/>
  <c r="M33" i="20"/>
  <c r="E33" i="20"/>
  <c r="C33" i="20"/>
  <c r="B33" i="20"/>
  <c r="Y32" i="20"/>
  <c r="X32" i="20"/>
  <c r="N32" i="20"/>
  <c r="M32" i="20"/>
  <c r="E32" i="20"/>
  <c r="C32" i="20"/>
  <c r="B32" i="20"/>
  <c r="Y31" i="20"/>
  <c r="X31" i="20"/>
  <c r="N31" i="20"/>
  <c r="M31" i="20"/>
  <c r="C31" i="20"/>
  <c r="B31" i="20"/>
  <c r="Y30" i="20"/>
  <c r="AC30" i="20" s="1"/>
  <c r="Z30" i="20" s="1"/>
  <c r="X30" i="20"/>
  <c r="W30" i="20"/>
  <c r="N30" i="20"/>
  <c r="R30" i="20" s="1"/>
  <c r="M30" i="20"/>
  <c r="L30" i="20"/>
  <c r="C30" i="20"/>
  <c r="G30" i="20" s="1"/>
  <c r="B30" i="20"/>
  <c r="A30" i="20"/>
  <c r="Y29" i="20"/>
  <c r="X29" i="20"/>
  <c r="N29" i="20"/>
  <c r="M29" i="20"/>
  <c r="E29" i="20"/>
  <c r="C29" i="20"/>
  <c r="B29" i="20"/>
  <c r="Y28" i="20"/>
  <c r="X28" i="20"/>
  <c r="N28" i="20"/>
  <c r="M28" i="20"/>
  <c r="E28" i="20"/>
  <c r="C28" i="20"/>
  <c r="B28" i="20"/>
  <c r="Y27" i="20"/>
  <c r="X27" i="20"/>
  <c r="N27" i="20"/>
  <c r="M27" i="20"/>
  <c r="C27" i="20"/>
  <c r="B27" i="20"/>
  <c r="Y26" i="20"/>
  <c r="AC26" i="20" s="1"/>
  <c r="Z26" i="20" s="1"/>
  <c r="X26" i="20"/>
  <c r="W26" i="20"/>
  <c r="N26" i="20"/>
  <c r="R26" i="20" s="1"/>
  <c r="M26" i="20"/>
  <c r="L26" i="20"/>
  <c r="C26" i="20"/>
  <c r="B26" i="20"/>
  <c r="A26" i="20"/>
  <c r="Y25" i="20"/>
  <c r="X25" i="20"/>
  <c r="N25" i="20"/>
  <c r="M25" i="20"/>
  <c r="E25" i="20"/>
  <c r="C25" i="20"/>
  <c r="B25" i="20"/>
  <c r="Y24" i="20"/>
  <c r="X24" i="20"/>
  <c r="N24" i="20"/>
  <c r="M24" i="20"/>
  <c r="C24" i="20"/>
  <c r="B24" i="20"/>
  <c r="Y23" i="20"/>
  <c r="X23" i="20"/>
  <c r="N23" i="20"/>
  <c r="M23" i="20"/>
  <c r="C23" i="20"/>
  <c r="B23" i="20"/>
  <c r="Y22" i="20"/>
  <c r="AC22" i="20" s="1"/>
  <c r="X22" i="20"/>
  <c r="W22" i="20"/>
  <c r="N22" i="20"/>
  <c r="R22" i="20" s="1"/>
  <c r="O25" i="20" s="1"/>
  <c r="M22" i="20"/>
  <c r="L22" i="20"/>
  <c r="C22" i="20"/>
  <c r="B22" i="20"/>
  <c r="A22" i="20"/>
  <c r="Y21" i="20"/>
  <c r="X21" i="20"/>
  <c r="N21" i="20"/>
  <c r="M21" i="20"/>
  <c r="E21" i="20"/>
  <c r="C21" i="20"/>
  <c r="B21" i="20"/>
  <c r="Y20" i="20"/>
  <c r="X20" i="20"/>
  <c r="N20" i="20"/>
  <c r="M20" i="20"/>
  <c r="E20" i="20"/>
  <c r="C20" i="20"/>
  <c r="B20" i="20"/>
  <c r="Y19" i="20"/>
  <c r="X19" i="20"/>
  <c r="N19" i="20"/>
  <c r="M19" i="20"/>
  <c r="C19" i="20"/>
  <c r="B19" i="20"/>
  <c r="Y18" i="20"/>
  <c r="AC18" i="20" s="1"/>
  <c r="X18" i="20"/>
  <c r="W18" i="20"/>
  <c r="N18" i="20"/>
  <c r="M18" i="20"/>
  <c r="L18" i="20"/>
  <c r="C18" i="20"/>
  <c r="G18" i="20" s="1"/>
  <c r="B18" i="20"/>
  <c r="A18" i="20"/>
  <c r="Y17" i="20"/>
  <c r="X17" i="20"/>
  <c r="N17" i="20"/>
  <c r="M17" i="20"/>
  <c r="E17" i="20"/>
  <c r="C17" i="20"/>
  <c r="B17" i="20"/>
  <c r="Y16" i="20"/>
  <c r="X16" i="20"/>
  <c r="N16" i="20"/>
  <c r="M16" i="20"/>
  <c r="E16" i="20"/>
  <c r="C16" i="20"/>
  <c r="B16" i="20"/>
  <c r="Y15" i="20"/>
  <c r="X15" i="20"/>
  <c r="N15" i="20"/>
  <c r="M15" i="20"/>
  <c r="C15" i="20"/>
  <c r="B15" i="20"/>
  <c r="Y14" i="20"/>
  <c r="AC14" i="20" s="1"/>
  <c r="X14" i="20"/>
  <c r="W14" i="20"/>
  <c r="N14" i="20"/>
  <c r="R14" i="20" s="1"/>
  <c r="O14" i="20" s="1"/>
  <c r="M14" i="20"/>
  <c r="L14" i="20"/>
  <c r="C14" i="20"/>
  <c r="G14" i="20" s="1"/>
  <c r="B14" i="20"/>
  <c r="A14" i="20"/>
  <c r="Y13" i="20"/>
  <c r="X13" i="20"/>
  <c r="N13" i="20"/>
  <c r="M13" i="20"/>
  <c r="E13" i="20"/>
  <c r="C13" i="20"/>
  <c r="B13" i="20"/>
  <c r="Y12" i="20"/>
  <c r="X12" i="20"/>
  <c r="N12" i="20"/>
  <c r="M12" i="20"/>
  <c r="E12" i="20"/>
  <c r="C12" i="20"/>
  <c r="B12" i="20"/>
  <c r="Y11" i="20"/>
  <c r="X11" i="20"/>
  <c r="N11" i="20"/>
  <c r="M11" i="20"/>
  <c r="C11" i="20"/>
  <c r="B11" i="20"/>
  <c r="Y10" i="20"/>
  <c r="AC10" i="20" s="1"/>
  <c r="X10" i="20"/>
  <c r="W10" i="20"/>
  <c r="N10" i="20"/>
  <c r="M10" i="20"/>
  <c r="L10" i="20"/>
  <c r="C10" i="20"/>
  <c r="J10" i="20" s="1"/>
  <c r="B10" i="20"/>
  <c r="A10" i="20"/>
  <c r="Y9" i="20"/>
  <c r="X9" i="20"/>
  <c r="N9" i="20"/>
  <c r="M9" i="20"/>
  <c r="E9" i="20"/>
  <c r="C9" i="20"/>
  <c r="B9" i="20"/>
  <c r="Y8" i="20"/>
  <c r="X8" i="20"/>
  <c r="N8" i="20"/>
  <c r="M8" i="20"/>
  <c r="E8" i="20"/>
  <c r="C8" i="20"/>
  <c r="B8" i="20"/>
  <c r="Y7" i="20"/>
  <c r="X7" i="20"/>
  <c r="N7" i="20"/>
  <c r="M7" i="20"/>
  <c r="C7" i="20"/>
  <c r="B7" i="20"/>
  <c r="Y6" i="20"/>
  <c r="W6" i="20"/>
  <c r="N6" i="20"/>
  <c r="R6" i="20" s="1"/>
  <c r="L6" i="20"/>
  <c r="C6" i="20"/>
  <c r="A6" i="20"/>
  <c r="Y5" i="20"/>
  <c r="X5" i="20"/>
  <c r="N5" i="20"/>
  <c r="M5" i="20"/>
  <c r="E5" i="20"/>
  <c r="C5" i="20"/>
  <c r="B5" i="20"/>
  <c r="Y4" i="20"/>
  <c r="X4" i="20"/>
  <c r="N4" i="20"/>
  <c r="M4" i="20"/>
  <c r="C4" i="20"/>
  <c r="B4" i="20"/>
  <c r="Y3" i="20"/>
  <c r="X3" i="20"/>
  <c r="N3" i="20"/>
  <c r="M3" i="20"/>
  <c r="C3" i="20"/>
  <c r="B3" i="20"/>
  <c r="Y2" i="20"/>
  <c r="AC2" i="20" s="1"/>
  <c r="X2" i="20"/>
  <c r="N2" i="20"/>
  <c r="R2" i="20" s="1"/>
  <c r="M2" i="20"/>
  <c r="C2" i="20"/>
  <c r="G2" i="20" s="1"/>
  <c r="B2" i="20"/>
  <c r="O31" i="20" l="1"/>
  <c r="O3" i="20"/>
  <c r="D5" i="20"/>
  <c r="O27" i="20"/>
  <c r="O29" i="20"/>
  <c r="O5" i="20"/>
  <c r="D37" i="20"/>
  <c r="O4" i="20"/>
  <c r="Z15" i="20"/>
  <c r="Z27" i="20"/>
  <c r="O17" i="20"/>
  <c r="Z5" i="20"/>
  <c r="D21" i="20"/>
  <c r="O24" i="20"/>
  <c r="Z31" i="20"/>
  <c r="D14" i="20"/>
  <c r="D20" i="20"/>
  <c r="Z16" i="20"/>
  <c r="Z25" i="20"/>
  <c r="Z28" i="20"/>
  <c r="Z29" i="20"/>
  <c r="Z32" i="20"/>
  <c r="D2" i="20"/>
  <c r="D36" i="20"/>
  <c r="D16" i="20"/>
  <c r="D3" i="20"/>
  <c r="Z3" i="20"/>
  <c r="D15" i="20"/>
  <c r="D35" i="20"/>
  <c r="D17" i="20"/>
  <c r="D34" i="20"/>
  <c r="AC6" i="20"/>
  <c r="Z6" i="20" s="1"/>
  <c r="G22" i="20"/>
  <c r="D25" i="20" s="1"/>
  <c r="Z2" i="20"/>
  <c r="G6" i="20"/>
  <c r="D8" i="20" s="1"/>
  <c r="O16" i="20"/>
  <c r="O28" i="20"/>
  <c r="O32" i="20"/>
  <c r="D18" i="20"/>
  <c r="AC34" i="20"/>
  <c r="Z35" i="20" s="1"/>
  <c r="Z4" i="20"/>
  <c r="D4" i="20"/>
  <c r="O15" i="20"/>
  <c r="O22" i="20"/>
  <c r="O23" i="20"/>
  <c r="O26" i="20"/>
  <c r="Z33" i="20"/>
  <c r="Z37" i="20"/>
  <c r="Z12" i="20"/>
  <c r="Z11" i="20"/>
  <c r="Z19" i="20"/>
  <c r="Z20" i="20"/>
  <c r="D33" i="20"/>
  <c r="D32" i="20"/>
  <c r="D31" i="20"/>
  <c r="Z21" i="20"/>
  <c r="O9" i="20"/>
  <c r="O8" i="20"/>
  <c r="Z17" i="20"/>
  <c r="Z14" i="20"/>
  <c r="Z24" i="20"/>
  <c r="Z23" i="20"/>
  <c r="Z22" i="20"/>
  <c r="Z13" i="20"/>
  <c r="O7" i="20"/>
  <c r="G10" i="20"/>
  <c r="D10" i="20" s="1"/>
  <c r="R10" i="20"/>
  <c r="O11" i="20" s="1"/>
  <c r="R18" i="20"/>
  <c r="O19" i="20" s="1"/>
  <c r="D19" i="20"/>
  <c r="O2" i="20"/>
  <c r="O6" i="20"/>
  <c r="H10" i="20"/>
  <c r="I10" i="20"/>
  <c r="G26" i="20"/>
  <c r="D26" i="20" s="1"/>
  <c r="O30" i="20"/>
  <c r="O33" i="20"/>
  <c r="O35" i="20"/>
  <c r="O36" i="20"/>
  <c r="Z10" i="20"/>
  <c r="Z18" i="20"/>
  <c r="D30" i="20"/>
  <c r="O34" i="20"/>
  <c r="M7" i="10"/>
  <c r="M8" i="10" s="1"/>
  <c r="N28" i="10"/>
  <c r="H12" i="11"/>
  <c r="K12" i="11"/>
  <c r="H8" i="11"/>
  <c r="K8" i="11"/>
  <c r="H5" i="11"/>
  <c r="H7" i="11"/>
  <c r="H9" i="11"/>
  <c r="H11" i="11"/>
  <c r="M42" i="10"/>
  <c r="M43" i="10" s="1"/>
  <c r="M41" i="10"/>
  <c r="M35" i="10"/>
  <c r="M30" i="10"/>
  <c r="M31" i="10" s="1"/>
  <c r="M29" i="10"/>
  <c r="M22" i="10"/>
  <c r="M23" i="10"/>
  <c r="M24" i="10" s="1"/>
  <c r="M54" i="10"/>
  <c r="M55" i="10" s="1"/>
  <c r="M53" i="10"/>
  <c r="M48" i="10"/>
  <c r="M49" i="10" s="1"/>
  <c r="N7" i="10"/>
  <c r="M14" i="10"/>
  <c r="M15" i="10" s="1"/>
  <c r="M36" i="10"/>
  <c r="M37" i="10" s="1"/>
  <c r="N14" i="10"/>
  <c r="M47" i="10"/>
  <c r="E4" i="20"/>
  <c r="D9" i="20" l="1"/>
  <c r="Z36" i="20"/>
  <c r="Z8" i="20"/>
  <c r="D6" i="20"/>
  <c r="D7" i="20"/>
  <c r="D27" i="20"/>
  <c r="D24" i="20"/>
  <c r="Z9" i="20"/>
  <c r="Z34" i="20"/>
  <c r="Z7" i="20"/>
  <c r="D22" i="20"/>
  <c r="O20" i="20"/>
  <c r="D23" i="20"/>
  <c r="D29" i="20"/>
  <c r="D28" i="20"/>
  <c r="O18" i="20"/>
  <c r="O10" i="20"/>
  <c r="O13" i="20"/>
  <c r="O21" i="20"/>
  <c r="D13" i="20"/>
  <c r="D11" i="20"/>
  <c r="O12" i="20"/>
  <c r="D12" i="20"/>
  <c r="M9" i="10"/>
  <c r="M10" i="10" s="1"/>
  <c r="M16" i="10"/>
  <c r="M17" i="10" s="1"/>
</calcChain>
</file>

<file path=xl/sharedStrings.xml><?xml version="1.0" encoding="utf-8"?>
<sst xmlns="http://schemas.openxmlformats.org/spreadsheetml/2006/main" count="576" uniqueCount="302">
  <si>
    <t>1 BL</t>
  </si>
  <si>
    <t>&lt;</t>
  </si>
  <si>
    <t>1 GE</t>
  </si>
  <si>
    <t>1 UG</t>
  </si>
  <si>
    <t>2 BL</t>
  </si>
  <si>
    <t>2 GE</t>
  </si>
  <si>
    <t>2 UG</t>
  </si>
  <si>
    <t>3 BL</t>
  </si>
  <si>
    <t>3 GE</t>
  </si>
  <si>
    <t>3 UG</t>
  </si>
  <si>
    <t>4 BL</t>
  </si>
  <si>
    <t>4 GE</t>
  </si>
  <si>
    <t>4 UG</t>
  </si>
  <si>
    <t>Chargen-
nummer</t>
  </si>
  <si>
    <r>
      <rPr>
        <b/>
        <sz val="15"/>
        <color theme="1"/>
        <rFont val="Symbol"/>
        <family val="1"/>
        <charset val="2"/>
      </rPr>
      <t>b</t>
    </r>
    <r>
      <rPr>
        <b/>
        <sz val="14"/>
        <color theme="1"/>
        <rFont val="Arial"/>
        <family val="2"/>
      </rPr>
      <t>(Fe)
[mg</t>
    </r>
    <r>
      <rPr>
        <b/>
        <vertAlign val="superscript"/>
        <sz val="8"/>
        <color theme="1"/>
        <rFont val="Arial"/>
        <family val="2"/>
      </rPr>
      <t>•</t>
    </r>
    <r>
      <rPr>
        <b/>
        <sz val="14"/>
        <color theme="1"/>
        <rFont val="Arial"/>
        <family val="2"/>
      </rPr>
      <t>l</t>
    </r>
    <r>
      <rPr>
        <b/>
        <vertAlign val="superscript"/>
        <sz val="14"/>
        <color theme="1"/>
        <rFont val="Arial"/>
        <family val="2"/>
      </rPr>
      <t>-1</t>
    </r>
    <r>
      <rPr>
        <b/>
        <sz val="14"/>
        <color theme="1"/>
        <rFont val="Arial"/>
        <family val="2"/>
      </rPr>
      <t>]</t>
    </r>
  </si>
  <si>
    <r>
      <rPr>
        <b/>
        <sz val="15"/>
        <color theme="1"/>
        <rFont val="Symbol"/>
        <family val="1"/>
        <charset val="2"/>
      </rPr>
      <t>b</t>
    </r>
    <r>
      <rPr>
        <b/>
        <sz val="14"/>
        <color theme="1"/>
        <rFont val="Arial"/>
        <family val="2"/>
      </rPr>
      <t>(Zn)
[mg</t>
    </r>
    <r>
      <rPr>
        <b/>
        <vertAlign val="superscript"/>
        <sz val="8"/>
        <color theme="1"/>
        <rFont val="Arial"/>
        <family val="2"/>
      </rPr>
      <t>•</t>
    </r>
    <r>
      <rPr>
        <b/>
        <sz val="14"/>
        <color theme="1"/>
        <rFont val="Arial"/>
        <family val="2"/>
      </rPr>
      <t>l</t>
    </r>
    <r>
      <rPr>
        <b/>
        <vertAlign val="superscript"/>
        <sz val="14"/>
        <color theme="1"/>
        <rFont val="Arial"/>
        <family val="2"/>
      </rPr>
      <t>-1</t>
    </r>
    <r>
      <rPr>
        <b/>
        <sz val="14"/>
        <color theme="1"/>
        <rFont val="Arial"/>
        <family val="2"/>
      </rPr>
      <t>]</t>
    </r>
  </si>
  <si>
    <r>
      <rPr>
        <b/>
        <sz val="15"/>
        <color theme="1"/>
        <rFont val="Symbol"/>
        <family val="1"/>
        <charset val="2"/>
      </rPr>
      <t>b</t>
    </r>
    <r>
      <rPr>
        <b/>
        <sz val="14"/>
        <color theme="1"/>
        <rFont val="Arial"/>
        <family val="2"/>
      </rPr>
      <t>(Cd)
[mg</t>
    </r>
    <r>
      <rPr>
        <b/>
        <vertAlign val="superscript"/>
        <sz val="8"/>
        <color theme="1"/>
        <rFont val="Arial"/>
        <family val="2"/>
      </rPr>
      <t>•</t>
    </r>
    <r>
      <rPr>
        <b/>
        <sz val="14"/>
        <color theme="1"/>
        <rFont val="Arial"/>
        <family val="2"/>
      </rPr>
      <t>l</t>
    </r>
    <r>
      <rPr>
        <b/>
        <vertAlign val="superscript"/>
        <sz val="14"/>
        <color theme="1"/>
        <rFont val="Arial"/>
        <family val="2"/>
      </rPr>
      <t>-1</t>
    </r>
    <r>
      <rPr>
        <b/>
        <sz val="14"/>
        <color theme="1"/>
        <rFont val="Arial"/>
        <family val="2"/>
      </rPr>
      <t>]</t>
    </r>
  </si>
  <si>
    <t>Einwaage
[g]</t>
  </si>
  <si>
    <t>V(Aufschluss)
[mL]</t>
  </si>
  <si>
    <r>
      <rPr>
        <b/>
        <sz val="16"/>
        <color theme="1"/>
        <rFont val="Symbol"/>
        <family val="1"/>
        <charset val="2"/>
      </rPr>
      <t>w</t>
    </r>
    <r>
      <rPr>
        <b/>
        <sz val="14"/>
        <color theme="1"/>
        <rFont val="Arial"/>
        <family val="2"/>
      </rPr>
      <t>(Fe)
[mg</t>
    </r>
    <r>
      <rPr>
        <b/>
        <vertAlign val="superscript"/>
        <sz val="6"/>
        <color theme="1"/>
        <rFont val="Arial"/>
        <family val="2"/>
      </rPr>
      <t>•</t>
    </r>
    <r>
      <rPr>
        <b/>
        <sz val="14"/>
        <color theme="1"/>
        <rFont val="Arial"/>
        <family val="2"/>
      </rPr>
      <t>kg</t>
    </r>
    <r>
      <rPr>
        <b/>
        <vertAlign val="superscript"/>
        <sz val="14"/>
        <color theme="1"/>
        <rFont val="Arial"/>
        <family val="2"/>
      </rPr>
      <t>-1</t>
    </r>
    <r>
      <rPr>
        <b/>
        <sz val="14"/>
        <color theme="1"/>
        <rFont val="Arial"/>
        <family val="2"/>
      </rPr>
      <t xml:space="preserve"> TM]</t>
    </r>
  </si>
  <si>
    <r>
      <rPr>
        <b/>
        <sz val="16"/>
        <color theme="1"/>
        <rFont val="Symbol"/>
        <family val="1"/>
        <charset val="2"/>
      </rPr>
      <t>w</t>
    </r>
    <r>
      <rPr>
        <b/>
        <sz val="14"/>
        <color theme="1"/>
        <rFont val="Arial"/>
        <family val="2"/>
      </rPr>
      <t>(Zn)
[mg</t>
    </r>
    <r>
      <rPr>
        <b/>
        <vertAlign val="superscript"/>
        <sz val="6"/>
        <color theme="1"/>
        <rFont val="Arial"/>
        <family val="2"/>
      </rPr>
      <t>•</t>
    </r>
    <r>
      <rPr>
        <b/>
        <sz val="14"/>
        <color theme="1"/>
        <rFont val="Arial"/>
        <family val="2"/>
      </rPr>
      <t>kg</t>
    </r>
    <r>
      <rPr>
        <b/>
        <vertAlign val="superscript"/>
        <sz val="14"/>
        <color theme="1"/>
        <rFont val="Arial"/>
        <family val="2"/>
      </rPr>
      <t>-1</t>
    </r>
    <r>
      <rPr>
        <b/>
        <sz val="14"/>
        <color theme="1"/>
        <rFont val="Arial"/>
        <family val="2"/>
      </rPr>
      <t xml:space="preserve"> TM]</t>
    </r>
  </si>
  <si>
    <r>
      <rPr>
        <b/>
        <sz val="16"/>
        <color theme="1"/>
        <rFont val="Symbol"/>
        <family val="1"/>
        <charset val="2"/>
      </rPr>
      <t>w</t>
    </r>
    <r>
      <rPr>
        <b/>
        <sz val="14"/>
        <color theme="1"/>
        <rFont val="Arial"/>
        <family val="2"/>
      </rPr>
      <t>(Cd)
[mg</t>
    </r>
    <r>
      <rPr>
        <b/>
        <vertAlign val="superscript"/>
        <sz val="6"/>
        <color theme="1"/>
        <rFont val="Arial"/>
        <family val="2"/>
      </rPr>
      <t>•</t>
    </r>
    <r>
      <rPr>
        <b/>
        <sz val="14"/>
        <color theme="1"/>
        <rFont val="Arial"/>
        <family val="2"/>
      </rPr>
      <t>kg</t>
    </r>
    <r>
      <rPr>
        <b/>
        <vertAlign val="superscript"/>
        <sz val="14"/>
        <color theme="1"/>
        <rFont val="Arial"/>
        <family val="2"/>
      </rPr>
      <t>-1</t>
    </r>
    <r>
      <rPr>
        <b/>
        <sz val="14"/>
        <color theme="1"/>
        <rFont val="Arial"/>
        <family val="2"/>
      </rPr>
      <t xml:space="preserve"> TM]</t>
    </r>
  </si>
  <si>
    <r>
      <rPr>
        <b/>
        <sz val="16"/>
        <color theme="1"/>
        <rFont val="Symbol"/>
        <family val="1"/>
        <charset val="2"/>
      </rPr>
      <t>w</t>
    </r>
    <r>
      <rPr>
        <b/>
        <sz val="14"/>
        <color theme="1"/>
        <rFont val="Arial"/>
        <family val="2"/>
      </rPr>
      <t>(Fe)
[mg</t>
    </r>
    <r>
      <rPr>
        <b/>
        <vertAlign val="superscript"/>
        <sz val="6"/>
        <color theme="1"/>
        <rFont val="Arial"/>
        <family val="2"/>
      </rPr>
      <t>•</t>
    </r>
    <r>
      <rPr>
        <b/>
        <sz val="14"/>
        <color theme="1"/>
        <rFont val="Arial"/>
        <family val="2"/>
      </rPr>
      <t>100 g</t>
    </r>
    <r>
      <rPr>
        <b/>
        <vertAlign val="superscript"/>
        <sz val="14"/>
        <color theme="1"/>
        <rFont val="Arial"/>
        <family val="2"/>
      </rPr>
      <t>-1</t>
    </r>
    <r>
      <rPr>
        <b/>
        <sz val="14"/>
        <color theme="1"/>
        <rFont val="Arial"/>
        <family val="2"/>
      </rPr>
      <t xml:space="preserve"> FM]</t>
    </r>
  </si>
  <si>
    <r>
      <rPr>
        <b/>
        <sz val="16"/>
        <color theme="1"/>
        <rFont val="Symbol"/>
        <family val="1"/>
        <charset val="2"/>
      </rPr>
      <t>w</t>
    </r>
    <r>
      <rPr>
        <b/>
        <sz val="14"/>
        <color theme="1"/>
        <rFont val="Arial"/>
        <family val="2"/>
      </rPr>
      <t>(Zn)
[mg</t>
    </r>
    <r>
      <rPr>
        <b/>
        <vertAlign val="superscript"/>
        <sz val="6"/>
        <color theme="1"/>
        <rFont val="Arial"/>
        <family val="2"/>
      </rPr>
      <t>•</t>
    </r>
    <r>
      <rPr>
        <b/>
        <sz val="14"/>
        <color theme="1"/>
        <rFont val="Arial"/>
        <family val="2"/>
      </rPr>
      <t>100 g</t>
    </r>
    <r>
      <rPr>
        <b/>
        <vertAlign val="superscript"/>
        <sz val="14"/>
        <color theme="1"/>
        <rFont val="Arial"/>
        <family val="2"/>
      </rPr>
      <t>-1</t>
    </r>
    <r>
      <rPr>
        <b/>
        <sz val="14"/>
        <color theme="1"/>
        <rFont val="Arial"/>
        <family val="2"/>
      </rPr>
      <t xml:space="preserve"> FM]</t>
    </r>
  </si>
  <si>
    <r>
      <rPr>
        <b/>
        <sz val="16"/>
        <color theme="1"/>
        <rFont val="Symbol"/>
        <family val="1"/>
        <charset val="2"/>
      </rPr>
      <t>w</t>
    </r>
    <r>
      <rPr>
        <b/>
        <sz val="14"/>
        <color theme="1"/>
        <rFont val="Arial"/>
        <family val="2"/>
      </rPr>
      <t>(Cd)
[mg</t>
    </r>
    <r>
      <rPr>
        <b/>
        <vertAlign val="superscript"/>
        <sz val="6"/>
        <color theme="1"/>
        <rFont val="Arial"/>
        <family val="2"/>
      </rPr>
      <t>•</t>
    </r>
    <r>
      <rPr>
        <b/>
        <sz val="14"/>
        <color theme="1"/>
        <rFont val="Arial"/>
        <family val="2"/>
      </rPr>
      <t>100 g</t>
    </r>
    <r>
      <rPr>
        <b/>
        <vertAlign val="superscript"/>
        <sz val="14"/>
        <color theme="1"/>
        <rFont val="Arial"/>
        <family val="2"/>
      </rPr>
      <t>-1</t>
    </r>
    <r>
      <rPr>
        <b/>
        <sz val="14"/>
        <color theme="1"/>
        <rFont val="Arial"/>
        <family val="2"/>
      </rPr>
      <t xml:space="preserve"> FM]</t>
    </r>
  </si>
  <si>
    <t>5 BL</t>
  </si>
  <si>
    <t>5 GE</t>
  </si>
  <si>
    <t>5 UG</t>
  </si>
  <si>
    <t>6 BL</t>
  </si>
  <si>
    <t>6 GE</t>
  </si>
  <si>
    <t>6 UG</t>
  </si>
  <si>
    <t>7 BL</t>
  </si>
  <si>
    <t>7 GE</t>
  </si>
  <si>
    <t>7 UG</t>
  </si>
  <si>
    <t>8 BL</t>
  </si>
  <si>
    <t>8 GE</t>
  </si>
  <si>
    <t>8 UG</t>
  </si>
  <si>
    <t>9 BL</t>
  </si>
  <si>
    <t>9 GE</t>
  </si>
  <si>
    <t>9 UG</t>
  </si>
  <si>
    <t>10 BL</t>
  </si>
  <si>
    <t>10 GE</t>
  </si>
  <si>
    <t>10 UG</t>
  </si>
  <si>
    <t>11 BL</t>
  </si>
  <si>
    <t>11 GE</t>
  </si>
  <si>
    <t>11 UG</t>
  </si>
  <si>
    <t>12 BL</t>
  </si>
  <si>
    <t>12 GE</t>
  </si>
  <si>
    <t>12 UG</t>
  </si>
  <si>
    <t>13 BL</t>
  </si>
  <si>
    <t>13 GE</t>
  </si>
  <si>
    <t>13 UG</t>
  </si>
  <si>
    <t>14 BL</t>
  </si>
  <si>
    <t>14 GE</t>
  </si>
  <si>
    <t>14 UG</t>
  </si>
  <si>
    <t>15 BL</t>
  </si>
  <si>
    <t>15 GE</t>
  </si>
  <si>
    <t>15 UG</t>
  </si>
  <si>
    <t>16 BL</t>
  </si>
  <si>
    <t>16 GE</t>
  </si>
  <si>
    <t>16 UG</t>
  </si>
  <si>
    <t>17 BL</t>
  </si>
  <si>
    <t>17 GE</t>
  </si>
  <si>
    <t>17 UG</t>
  </si>
  <si>
    <t>18 BL</t>
  </si>
  <si>
    <t>18 GE</t>
  </si>
  <si>
    <t>18 UG</t>
  </si>
  <si>
    <t>19 BL</t>
  </si>
  <si>
    <t>19 GE</t>
  </si>
  <si>
    <t>19 UG</t>
  </si>
  <si>
    <t>20 BL</t>
  </si>
  <si>
    <t>20 GE</t>
  </si>
  <si>
    <t>20 UG</t>
  </si>
  <si>
    <t>21 BL</t>
  </si>
  <si>
    <t>21 GE</t>
  </si>
  <si>
    <t>21 UG</t>
  </si>
  <si>
    <t>22 BL</t>
  </si>
  <si>
    <t>22 GE</t>
  </si>
  <si>
    <t>22 UG</t>
  </si>
  <si>
    <t>23 BL</t>
  </si>
  <si>
    <t>23 GE</t>
  </si>
  <si>
    <t>23 UG</t>
  </si>
  <si>
    <t>24 BL</t>
  </si>
  <si>
    <t>24 GE</t>
  </si>
  <si>
    <t>24 UG</t>
  </si>
  <si>
    <t>25 BL</t>
  </si>
  <si>
    <t>25 GE</t>
  </si>
  <si>
    <t>25 UG</t>
  </si>
  <si>
    <t>26 BL</t>
  </si>
  <si>
    <t>26 GE</t>
  </si>
  <si>
    <t>26 UG</t>
  </si>
  <si>
    <t>27 BL</t>
  </si>
  <si>
    <t>27 GE</t>
  </si>
  <si>
    <t>27 UG</t>
  </si>
  <si>
    <t>28 BL</t>
  </si>
  <si>
    <t>28 GE</t>
  </si>
  <si>
    <t>28 UG</t>
  </si>
  <si>
    <t>29 BL</t>
  </si>
  <si>
    <t>29 GE</t>
  </si>
  <si>
    <t>29 UG</t>
  </si>
  <si>
    <t>30 BL</t>
  </si>
  <si>
    <t>30 GE</t>
  </si>
  <si>
    <t>30 UG</t>
  </si>
  <si>
    <t>31 BL</t>
  </si>
  <si>
    <t>31 GE</t>
  </si>
  <si>
    <t>31 UG</t>
  </si>
  <si>
    <t>32 BL</t>
  </si>
  <si>
    <t>32 GE</t>
  </si>
  <si>
    <t>32 UG</t>
  </si>
  <si>
    <t>33 BL</t>
  </si>
  <si>
    <t>33 GE</t>
  </si>
  <si>
    <t>33 UG</t>
  </si>
  <si>
    <t>34 BL</t>
  </si>
  <si>
    <t>34 GE</t>
  </si>
  <si>
    <t>34 UG</t>
  </si>
  <si>
    <t>35 BL</t>
  </si>
  <si>
    <t>35 GE</t>
  </si>
  <si>
    <t>35 UG</t>
  </si>
  <si>
    <t>36 BL</t>
  </si>
  <si>
    <t>36 GE</t>
  </si>
  <si>
    <t>36 UG</t>
  </si>
  <si>
    <t>VG 1</t>
  </si>
  <si>
    <t>VG 2</t>
  </si>
  <si>
    <t>VG 3</t>
  </si>
  <si>
    <t>VG 4</t>
  </si>
  <si>
    <t>VG 4A</t>
  </si>
  <si>
    <t>VG 4B</t>
  </si>
  <si>
    <t>VG 5</t>
  </si>
  <si>
    <t>VG 6</t>
  </si>
  <si>
    <t>VG 7</t>
  </si>
  <si>
    <t>VG 8</t>
  </si>
  <si>
    <t>VG 8A</t>
  </si>
  <si>
    <t>VG 8B</t>
  </si>
  <si>
    <t>VG 9</t>
  </si>
  <si>
    <t>VG 10</t>
  </si>
  <si>
    <t>VG 11</t>
  </si>
  <si>
    <t>VG 12</t>
  </si>
  <si>
    <t>VG 12A</t>
  </si>
  <si>
    <t>VG 12B</t>
  </si>
  <si>
    <t>VG 13</t>
  </si>
  <si>
    <t>VG 14</t>
  </si>
  <si>
    <t>VG 15</t>
  </si>
  <si>
    <t>VG 16</t>
  </si>
  <si>
    <t>VG 16A</t>
  </si>
  <si>
    <t>VG 16B</t>
  </si>
  <si>
    <t>Mittel</t>
  </si>
  <si>
    <t>Varianz</t>
  </si>
  <si>
    <t>Standardabw</t>
  </si>
  <si>
    <t>Düngerart</t>
  </si>
  <si>
    <t>Kontrolle</t>
  </si>
  <si>
    <t>Versuchsglied</t>
  </si>
  <si>
    <t>Tab. 1: Dünger zur Überprüfung der Pflanzenverträglichkeit einer Eisen-Blattdüngung von Grünkohl</t>
  </si>
  <si>
    <t>Eisendüngeform</t>
  </si>
  <si>
    <t>Produktname</t>
  </si>
  <si>
    <t>Hersteller (Land)</t>
  </si>
  <si>
    <t>Anteil Fe (Gew.-%)</t>
  </si>
  <si>
    <t>Fe-EDTA</t>
  </si>
  <si>
    <t>Dissolvine E-Fe-13</t>
  </si>
  <si>
    <t>Nouryon (NL)</t>
  </si>
  <si>
    <t>Fe-EDDHA</t>
  </si>
  <si>
    <t>Ferty 72-Fe</t>
  </si>
  <si>
    <t>Planta (D)</t>
  </si>
  <si>
    <t>Fe-IDHA</t>
  </si>
  <si>
    <t>ADOB Fe-IDHA 9 %</t>
  </si>
  <si>
    <t>ADOB (POL)</t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</si>
  <si>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Wingdings 2"/>
        <family val="1"/>
        <charset val="2"/>
      </rPr>
      <t></t>
    </r>
    <r>
      <rPr>
        <sz val="11"/>
        <color theme="1"/>
        <rFont val="Calibri"/>
        <family val="2"/>
      </rPr>
      <t xml:space="preserve"> 7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</si>
  <si>
    <t>Eisen(II)-sulfat-Heptahydrat</t>
  </si>
  <si>
    <t>Merck (D)</t>
  </si>
  <si>
    <t>Tab. 2: Düngemengen zur Überprüfung der Pflanzenverträglichkeit einer Eisen-Blattdüngung von Grünkohl</t>
  </si>
  <si>
    <t>Eisendüngung (kg/ha)</t>
  </si>
  <si>
    <t>Düngermenge (kg/ha)</t>
  </si>
  <si>
    <r>
      <t xml:space="preserve">Düngermenge (mg/Pflanze) </t>
    </r>
    <r>
      <rPr>
        <vertAlign val="superscript"/>
        <sz val="11"/>
        <color theme="1"/>
        <rFont val="Calibri"/>
        <family val="2"/>
        <scheme val="minor"/>
      </rPr>
      <t>1)</t>
    </r>
  </si>
  <si>
    <r>
      <t>Düngermenge (mg/7,5 mL)</t>
    </r>
    <r>
      <rPr>
        <vertAlign val="superscript"/>
        <sz val="11"/>
        <color theme="1"/>
        <rFont val="Calibri"/>
        <family val="2"/>
        <scheme val="minor"/>
      </rPr>
      <t xml:space="preserve"> 2)</t>
    </r>
  </si>
  <si>
    <r>
      <t xml:space="preserve">Düngermenge (mg/50 mL) </t>
    </r>
    <r>
      <rPr>
        <vertAlign val="superscript"/>
        <sz val="11"/>
        <color theme="1"/>
        <rFont val="Calibri"/>
        <family val="2"/>
        <scheme val="minor"/>
      </rPr>
      <t>3)</t>
    </r>
  </si>
  <si>
    <t>Düngermenge (mg/200 mL)</t>
  </si>
  <si>
    <r>
      <rPr>
        <vertAlign val="superscript"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Unter der Annahme, dass 4 Pflanzen auf einem Quadratmeter stehen</t>
    </r>
  </si>
  <si>
    <r>
      <rPr>
        <vertAlign val="superscript"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Bei einer praxisüblichen Wasseraufwandmenge von 300 Liter pro Hektar (= 7,5 mL je 0,25 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7,5 mL je Pflanze)</t>
    </r>
  </si>
  <si>
    <r>
      <rPr>
        <vertAlign val="superscript"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50 mL Sprühlösung werden je Versuchsglied angesetzt (damit die Sprühflaschen zur Hälfte gefüllt sind --&gt; für gleichmäßige Applikation erfoderlich)</t>
    </r>
  </si>
  <si>
    <t>Vorgehensweise beim Ansetzen der Düngerlösungen:</t>
  </si>
  <si>
    <t>1. Abwiegen der Düngermengen für die 16 Versuchsglieder (Spalte G, gelb hinterlegt)</t>
  </si>
  <si>
    <t>2. Überführen der Dünger in 50 mL-Messkolben (Beschriftung aller Gefäße mit den Versuchsglied-Nr. aus Spalte A).</t>
  </si>
  <si>
    <t>3. Messkolben etwa zur Hälfte (25 mL) mit dest. Wasser befüllen</t>
  </si>
  <si>
    <r>
      <t xml:space="preserve">4. Zugabe von 10 mL der angesetzten Stammlösung des Netzmittels BREAK-THRU® S 301 </t>
    </r>
    <r>
      <rPr>
        <vertAlign val="superscript"/>
        <sz val="11"/>
        <color theme="1"/>
        <rFont val="Calibri"/>
        <family val="2"/>
        <scheme val="minor"/>
      </rPr>
      <t>1)</t>
    </r>
  </si>
  <si>
    <t xml:space="preserve">5. Messkolben vollständig auf 50 mL auffüllen </t>
  </si>
  <si>
    <t>6. Dünger bis zum vollständigen Lösen schütteln und dann in die Sprühflaschen umfüllen (ebenfalls mit Versuchsglied-Nr. beschriften)</t>
  </si>
  <si>
    <r>
      <rPr>
        <vertAlign val="superscript"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Aufwandmenge BREAK-THRU® S 301: 150 mL/ha </t>
    </r>
  </si>
  <si>
    <t xml:space="preserve">   --&gt; die entspricht 150 mL/300 L Blattdüngerlösung (= 0,05 Vol.-%)</t>
  </si>
  <si>
    <t xml:space="preserve">   --&gt; dies entspricht 0,5 mL/1 L Blattdüngerlösung</t>
  </si>
  <si>
    <t xml:space="preserve">   --&gt; dies entspricht 25 µL/50 mL Blattdüngerlösung</t>
  </si>
  <si>
    <t xml:space="preserve">Ansetzen der BREAK-THRU® S 301-Stammlösung </t>
  </si>
  <si>
    <t>1. 500 mL-Messkolben etwa zu drei Viertel mit destillierten Wasser befüllen, dann 1,25 mL BREAK-THRU® S 301 hinzu pippetieren und anschließend auf 500 mL-Marke auffüllen.</t>
  </si>
  <si>
    <t>2. Lösung mit Magnetrührer homogenisieren; diese Stammlösung enthält je 10 mL ca. 25 µL BREAK-THRU® S 301</t>
  </si>
  <si>
    <t>3. Daher werden 10 mL dieser Stammlösung beim Ansetzen der Düngerlösungen in den 50 mL-Messkolben pipettiert (siehe oben).</t>
  </si>
  <si>
    <t>Applikation der Düngerlösung im Feld</t>
  </si>
  <si>
    <r>
      <t xml:space="preserve">Um je Pflanze die erforderlichen 7,5 mL Eisendüngerlösung zu applizieren, müssen mit den Sprühflaschen 36 Sprühstöße abgegeben werden (10 Sprühstöße entsprechen 2,06 mL). </t>
    </r>
    <r>
      <rPr>
        <sz val="11"/>
        <color rgb="FFFF0000"/>
        <rFont val="Calibri"/>
        <family val="2"/>
        <scheme val="minor"/>
      </rPr>
      <t>NEU: 10 Sprühstöße entsprechen 1,36 mL (neue Flaschencharge) = 55 Sprühstöße</t>
    </r>
  </si>
  <si>
    <t>Zur Vermeidung von Abdrift auf benachbarte Pflanzen wird die behandelte Pflanze mit einem Styroporrahmen separiert (Innenabmessung 50 cm x 50 cm), vgl. Abb. 1, Foto aus Spinatdüngungsversuch.</t>
  </si>
  <si>
    <t>Jede behandelte Pflanze wird mit einem Stab und Etikett gekennzeichnet (Position neben der Pflanze einheitlich arrangieren, damit Zuordnung eindeutig ist).</t>
  </si>
  <si>
    <t>Möglichst gleich große Pflanzen behandeln (vereinzelt waren auf dem Feld kleinere Pflanzen zu sehen, diese also ausklammern).</t>
  </si>
  <si>
    <t>Behandelte Pflanzen sind von unbehandelten Pflanzen getrennt (vgl. Behandlungsmuster Tabelle 2)</t>
  </si>
  <si>
    <t>Behandlung bei bedecktem, möglichst windstillem Wetter durchführen; in den zwei Tagen nach der Applikation sollte kein nennenswerter Niederschlag vorhergesagt werden.</t>
  </si>
  <si>
    <t xml:space="preserve">Abb. 1: Eisenblattdüngung von Spinat unter Verwendung von Abdriftschutzrahmen aus Styropor </t>
  </si>
  <si>
    <t>Möglich Versuchsfakoren und -varianten für den Hauptversuch</t>
  </si>
  <si>
    <t>- 2 Eisendüngerarten (die sich im Vorversuch als am besten pflanzenverträglich erwiesen haben)</t>
  </si>
  <si>
    <t>- 3 Düngungsstufen (die auf Basis der Ergebnisse des Vorversuchs als pflanzenverträglich einzustufen sind)</t>
  </si>
  <si>
    <t>- 1 vs. 2 Behandlungstermine (zur Begrenzung des Versuchsumfangs jeweils nur bei mittlerer Düngungsstufe, bei den anderen beiden Düngungstufen erfolgt nur eine einmalige Behandlung)</t>
  </si>
  <si>
    <t>- 1 Kontrolle (destilliertes Wasser mit BREAK-THRU® S 301, 0,05 Vol.-%)</t>
  </si>
  <si>
    <t>- 4 Wiederholungen je Versuchsvariante (angelegt als randomisierte Blockanlage mit 4 Blöcken)</t>
  </si>
  <si>
    <t>- 2 Pflanzen je Versuchsvariante und Wiederholungen</t>
  </si>
  <si>
    <r>
      <t xml:space="preserve">Anzahl Behandlungen: (2 x 3) + </t>
    </r>
    <r>
      <rPr>
        <sz val="11"/>
        <color rgb="FFFF0000"/>
        <rFont val="Calibri"/>
        <family val="2"/>
        <scheme val="minor"/>
      </rPr>
      <t>(2 x 1) (zweifache Behandlung)</t>
    </r>
    <r>
      <rPr>
        <sz val="11"/>
        <color theme="1"/>
        <rFont val="Calibri"/>
        <family val="2"/>
        <scheme val="minor"/>
      </rPr>
      <t xml:space="preserve"> + 1 = 9</t>
    </r>
  </si>
  <si>
    <t>Nettoversuchsfläche (behandelte Pflanzen):</t>
  </si>
  <si>
    <t xml:space="preserve">Bruttoversuchsfläche (inkl. Rand-/Zwischenpflanzen, vgl. Tabelle 2)*: </t>
  </si>
  <si>
    <t>Anzahl Pflanzen: 9 x 4 x 2 = 72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</si>
  <si>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</si>
  <si>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(ca. 2,0 m x 39 m)</t>
  </si>
  <si>
    <t>* beim Überspringen von kleinen Pflanzen erhöht sich die Bruttoversuchsfläche noch</t>
  </si>
  <si>
    <r>
      <t>b(Fe)
[mg</t>
    </r>
    <r>
      <rPr>
        <b/>
        <vertAlign val="superscript"/>
        <sz val="11"/>
        <color theme="1"/>
        <rFont val="Calibri"/>
        <family val="2"/>
      </rPr>
      <t>•</t>
    </r>
    <r>
      <rPr>
        <b/>
        <sz val="11"/>
        <color theme="1"/>
        <rFont val="Calibri"/>
        <family val="2"/>
      </rPr>
      <t>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]</t>
    </r>
  </si>
  <si>
    <r>
      <t>b(Zn)
[mg</t>
    </r>
    <r>
      <rPr>
        <b/>
        <vertAlign val="superscript"/>
        <sz val="11"/>
        <color theme="1"/>
        <rFont val="Calibri"/>
        <family val="2"/>
      </rPr>
      <t>•</t>
    </r>
    <r>
      <rPr>
        <b/>
        <sz val="11"/>
        <color theme="1"/>
        <rFont val="Calibri"/>
        <family val="2"/>
      </rPr>
      <t>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]</t>
    </r>
  </si>
  <si>
    <r>
      <t>b(Cd)
[mg</t>
    </r>
    <r>
      <rPr>
        <b/>
        <vertAlign val="superscript"/>
        <sz val="11"/>
        <color theme="1"/>
        <rFont val="Calibri"/>
        <family val="2"/>
      </rPr>
      <t>•</t>
    </r>
    <r>
      <rPr>
        <b/>
        <sz val="11"/>
        <color theme="1"/>
        <rFont val="Calibri"/>
        <family val="2"/>
      </rPr>
      <t>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]</t>
    </r>
  </si>
  <si>
    <r>
      <t>w(Fe)
[mg</t>
    </r>
    <r>
      <rPr>
        <b/>
        <vertAlign val="superscript"/>
        <sz val="11"/>
        <color theme="1"/>
        <rFont val="Calibri"/>
        <family val="2"/>
      </rPr>
      <t>•</t>
    </r>
    <r>
      <rPr>
        <b/>
        <sz val="11"/>
        <color theme="1"/>
        <rFont val="Calibri"/>
        <family val="2"/>
      </rPr>
      <t>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TM]</t>
    </r>
  </si>
  <si>
    <r>
      <t>w(Zn)
[mg</t>
    </r>
    <r>
      <rPr>
        <b/>
        <vertAlign val="superscript"/>
        <sz val="11"/>
        <color theme="1"/>
        <rFont val="Calibri"/>
        <family val="2"/>
      </rPr>
      <t>•</t>
    </r>
    <r>
      <rPr>
        <b/>
        <sz val="11"/>
        <color theme="1"/>
        <rFont val="Calibri"/>
        <family val="2"/>
      </rPr>
      <t>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TM]</t>
    </r>
  </si>
  <si>
    <r>
      <t>w(Cd)
[mg</t>
    </r>
    <r>
      <rPr>
        <b/>
        <vertAlign val="superscript"/>
        <sz val="11"/>
        <color theme="1"/>
        <rFont val="Calibri"/>
        <family val="2"/>
      </rPr>
      <t>•</t>
    </r>
    <r>
      <rPr>
        <b/>
        <sz val="11"/>
        <color theme="1"/>
        <rFont val="Calibri"/>
        <family val="2"/>
      </rPr>
      <t>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TM]</t>
    </r>
  </si>
  <si>
    <r>
      <t>w(Fe)
[mg</t>
    </r>
    <r>
      <rPr>
        <b/>
        <vertAlign val="superscript"/>
        <sz val="11"/>
        <color theme="1"/>
        <rFont val="Calibri"/>
        <family val="2"/>
      </rPr>
      <t>•</t>
    </r>
    <r>
      <rPr>
        <b/>
        <sz val="11"/>
        <color theme="1"/>
        <rFont val="Calibri"/>
        <family val="2"/>
      </rPr>
      <t>100 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FM]</t>
    </r>
  </si>
  <si>
    <r>
      <t>w(Zn)
[mg</t>
    </r>
    <r>
      <rPr>
        <b/>
        <vertAlign val="superscript"/>
        <sz val="11"/>
        <color theme="1"/>
        <rFont val="Calibri"/>
        <family val="2"/>
      </rPr>
      <t>•</t>
    </r>
    <r>
      <rPr>
        <b/>
        <sz val="11"/>
        <color theme="1"/>
        <rFont val="Calibri"/>
        <family val="2"/>
      </rPr>
      <t>100 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FM]</t>
    </r>
  </si>
  <si>
    <r>
      <t>w(Cd)
[mg</t>
    </r>
    <r>
      <rPr>
        <b/>
        <vertAlign val="superscript"/>
        <sz val="11"/>
        <color theme="1"/>
        <rFont val="Calibri"/>
        <family val="2"/>
      </rPr>
      <t>•</t>
    </r>
    <r>
      <rPr>
        <b/>
        <sz val="11"/>
        <color theme="1"/>
        <rFont val="Calibri"/>
        <family val="2"/>
      </rPr>
      <t>100 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 xml:space="preserve"> FM]</t>
    </r>
  </si>
  <si>
    <r>
      <t>Eisenzufuhr [mg Pflanze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</si>
  <si>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Mittelwert Ernte</t>
  </si>
  <si>
    <t>Mittelwert Ernte je Pflanze</t>
  </si>
  <si>
    <r>
      <t>Theoretische Eisenzufuhr [mg (100 g FM)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] </t>
    </r>
    <r>
      <rPr>
        <sz val="8"/>
        <color theme="1"/>
        <rFont val="Calibri"/>
        <family val="2"/>
        <scheme val="minor"/>
      </rPr>
      <t>(Eisenzufuhr * Faktor)</t>
    </r>
  </si>
  <si>
    <t xml:space="preserve">Tab. X Theoretische Eisenzufuhr der Grünkohlpflanzen anhand der Dünge- und Erntemengen </t>
  </si>
  <si>
    <t>Parzelle</t>
  </si>
  <si>
    <t>Probe</t>
  </si>
  <si>
    <t>ungewaschen</t>
  </si>
  <si>
    <t>gewaschen</t>
  </si>
  <si>
    <t>blanchiert</t>
  </si>
  <si>
    <t xml:space="preserve">pH- Wert  Wiederholung </t>
  </si>
  <si>
    <t xml:space="preserve">pH-Wert </t>
  </si>
  <si>
    <t>Anteil Fe [Gew.-%]</t>
  </si>
  <si>
    <r>
      <t>Eisendüngemenge [mg Pflanze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  <r>
      <rPr>
        <vertAlign val="superscript"/>
        <sz val="11"/>
        <color theme="1"/>
        <rFont val="Calibri"/>
        <family val="2"/>
        <scheme val="minor"/>
      </rPr>
      <t>1)</t>
    </r>
  </si>
  <si>
    <t>Vorgehensweise bei der Messung des Boden pH</t>
  </si>
  <si>
    <t>3 Mischproben á 10 Einstiche</t>
  </si>
  <si>
    <t>Bruttoversuchsfläche=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</si>
  <si>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</si>
  <si>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(1,55 m x 55,50 m)</t>
  </si>
  <si>
    <t xml:space="preserve">je 18,5 m lang und 3 m breite Fläche </t>
  </si>
  <si>
    <r>
      <t>Fe-EDDHA 0,2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</si>
  <si>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Fe-EDDHA 0,3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</si>
  <si>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Fe-EDDHA 0,4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</si>
  <si>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FeSO4  7 H2O 0,2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</si>
  <si>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FeSO4  7 H2O 0,3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</si>
  <si>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FeSO4  7 H2O 0,4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</si>
  <si>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Tab. X pH-Werte gemessen am 17.02.23 der getrockneten Bodenproben von Parzelle 1-3 vom 13.02.23, Mischprobe mit je 10 Einstichen</t>
  </si>
  <si>
    <r>
      <t>Erntemenge [g (FM Pflanze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)]</t>
    </r>
  </si>
  <si>
    <r>
      <t>EDDHA 0,2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</si>
  <si>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EDDHA 0,3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</si>
  <si>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EDDHA 0,4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</si>
  <si>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∙ 7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sz val="11"/>
        <color theme="1"/>
        <rFont val="Calibri"/>
        <family val="2"/>
        <scheme val="minor"/>
      </rPr>
      <t xml:space="preserve"> 0,2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</si>
  <si>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∙ 7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sz val="11"/>
        <color theme="1"/>
        <rFont val="Calibri"/>
        <family val="2"/>
        <scheme val="minor"/>
      </rPr>
      <t xml:space="preserve"> 0,3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</si>
  <si>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∙ 7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sz val="11"/>
        <color theme="1"/>
        <rFont val="Calibri"/>
        <family val="2"/>
        <scheme val="minor"/>
      </rPr>
      <t xml:space="preserve"> 0,4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</si>
  <si>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FeSO4 ∙ 7 H2O 0,3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 zwei Applikationen</t>
    </r>
  </si>
  <si>
    <r>
      <t>EDDHA 0,3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 zwei Applikationen</t>
    </r>
  </si>
  <si>
    <r>
      <t xml:space="preserve">Faktor für die Berechnung von 100 g FM </t>
    </r>
    <r>
      <rPr>
        <sz val="8"/>
        <color theme="1"/>
        <rFont val="Calibri"/>
        <family val="2"/>
        <scheme val="minor"/>
      </rPr>
      <t>(100/Erntemenge)</t>
    </r>
  </si>
  <si>
    <r>
      <t>Fe-EDDHA 0,3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 zwei Applikationen</t>
    </r>
  </si>
  <si>
    <r>
      <t>FeSO4  7 H2O 0,3 [kg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 zwei Applikationen</t>
    </r>
  </si>
  <si>
    <r>
      <rPr>
        <vertAlign val="superscript"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Düngermenge (mg/7,5 mL)</t>
    </r>
  </si>
  <si>
    <t>Fiktiv mit 5,9 % TM gerechnet</t>
  </si>
  <si>
    <t>Zweifach appliziert 0,3</t>
  </si>
  <si>
    <t xml:space="preserve">Ernte </t>
  </si>
  <si>
    <t>12 cm vom höchsten Punkt</t>
  </si>
  <si>
    <t>20 Blätter geerntet</t>
  </si>
  <si>
    <t>entzweigt im Labor</t>
  </si>
  <si>
    <t>1/4 wurde direkt in den Trockenschrank bei 60 Grad gelegt</t>
  </si>
  <si>
    <t>1/4 wurde 1min gewaschen und 1 min geschleuchdert, danach ebenfalls verpackt und getrocknet</t>
  </si>
  <si>
    <t>15 g wurden für Vitamin C in den Gefrierschrank zurückgestellt</t>
  </si>
  <si>
    <t>Rest wurde blanchiert, davon eine Hälfte später im Trockenschrank getrocknet ca. 200 g und die andere Hälfte in die Tiefkühlung gelegt (- 17 Grad), zusätzlich 15 g auch für die Vitamin C Bestimmung zur Seite gelegt</t>
  </si>
  <si>
    <t>Nach Trocknung</t>
  </si>
  <si>
    <t>Proben zwischen 0,25 und 0,35 g einwiegen in teflongefäße</t>
  </si>
  <si>
    <t>darauf wurde ein Gemisch aus Salpetersäure und Wasserstoffperoxid gegeben 7 ml HNO3 65 %, 2 ml H2O2 30%, 3 ml Bidest Wasser = 12 ml</t>
  </si>
  <si>
    <t>nach dem Verschließen und schwenken der Teflongefäße wurden die Proben im mikrowellenaufschluss behandelt</t>
  </si>
  <si>
    <t xml:space="preserve">nach der Behandlung wurden die Flüssigkeiten in kleine Probengefäße zur Messung von Fe, Zn und Cd überführt und mit Bidest 3 ml aufgefüllt </t>
  </si>
  <si>
    <r>
      <t>Theoretische Eisenzufuhr [mg•(kg TM)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</si>
  <si>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Tab. X Trockenmassengewichte Ernte in g</t>
  </si>
  <si>
    <t>Tab. X Frischmassengewichte Ernte in g</t>
  </si>
  <si>
    <r>
      <t>Erntemenge [g (TM Pflanze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)]</t>
    </r>
  </si>
  <si>
    <r>
      <t xml:space="preserve">Faktor für die Berechnung von 1000 g TM </t>
    </r>
    <r>
      <rPr>
        <sz val="8"/>
        <color theme="1"/>
        <rFont val="Calibri"/>
        <family val="2"/>
        <scheme val="minor"/>
      </rPr>
      <t>(1000/Erntemenge)</t>
    </r>
  </si>
  <si>
    <r>
      <t>ω(Fe)
[mg•(kg TM)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 ungewaschen</t>
    </r>
  </si>
  <si>
    <r>
      <t>ω(Fe)
[mg•(kg TM)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 gewaschen</t>
    </r>
  </si>
  <si>
    <r>
      <t>ω(Fe)
[mg•(kg TM)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 blanchiert</t>
    </r>
  </si>
  <si>
    <t>Standabw</t>
  </si>
  <si>
    <t>Ausreißer mit 1 markieren</t>
  </si>
  <si>
    <t>Quartil 75/25</t>
  </si>
  <si>
    <t>Quartil 75</t>
  </si>
  <si>
    <t>Quartil 25</t>
  </si>
  <si>
    <t>Quartil 50</t>
  </si>
  <si>
    <t>Ausreißer entfernt</t>
  </si>
  <si>
    <t>die Pflanzen standen neben Doppelbehandlungen</t>
  </si>
  <si>
    <t>Ausreißer</t>
  </si>
  <si>
    <t>FeSO4  7 H2O</t>
  </si>
  <si>
    <t>Zn_blanchiert</t>
  </si>
  <si>
    <t>Zn_ungewaschen</t>
  </si>
  <si>
    <t>Fe_blanchiert</t>
  </si>
  <si>
    <t>Fe_ungewaschen</t>
  </si>
  <si>
    <t>Eisendüngung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</si>
</sst>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\ _€_-;\-* #,##0.00\ _€_-;_-* &quot;-&quot;??\ _€_-;_-@_-"/>
    <numFmt numFmtId="165" formatCode="_-* #,##0.0\ _€_-;\-* #,##0.0\ _€_-;_-* &quot;-&quot;?\ _€_-;_-@_-"/>
    <numFmt numFmtId="166" formatCode="_-* #,##0.000\ _€_-;\-* #,##0.000\ _€_-;_-* &quot;-&quot;???\ _€_-;_-@_-"/>
    <numFmt numFmtId="167" formatCode="0.0000"/>
    <numFmt numFmtId="168" formatCode="#,##0\ _€"/>
    <numFmt numFmtId="169" formatCode="#,##0.00\ _€"/>
    <numFmt numFmtId="170" formatCode="#,##0.000\ _€"/>
    <numFmt numFmtId="171" formatCode="#,##0.0\ _€"/>
    <numFmt numFmtId="172" formatCode="_-* #,##0.000\ _€_-;\-* #,##0.000\ _€_-;_-* &quot;-&quot;?\ _€_-;_-@_-"/>
    <numFmt numFmtId="173" formatCode="_-* #,##0\ _€_-;\-* #,##0\ _€_-;_-* &quot;-&quot;?\ _€_-;_-@_-"/>
    <numFmt numFmtId="174" formatCode="_-* #,##0.00\ _€_-;\-* #,##0.00\ _€_-;_-* &quot;-&quot;?\ _€_-;_-@_-"/>
    <numFmt numFmtId="175" formatCode="#,##0.0000\ _€"/>
    <numFmt numFmtId="176" formatCode="0.0"/>
  </numFmts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Symbol"/>
      <family val="1"/>
      <charset val="2"/>
    </font>
    <font>
      <b/>
      <vertAlign val="superscript"/>
      <sz val="8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sz val="16"/>
      <color theme="1"/>
      <name val="Symbol"/>
      <family val="1"/>
      <charset val="2"/>
    </font>
    <font>
      <b/>
      <vertAlign val="superscript"/>
      <sz val="6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Wingdings 2"/>
      <family val="1"/>
      <charset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sz val="8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9" fillId="0" borderId="0" xfId="0" applyFont="1"/>
    <xf numFmtId="0" fontId="0" fillId="2" borderId="2" xfId="0" applyFill="1" applyBorder="1" applyAlignment="1">
      <alignment horizontal="center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13" fillId="0" borderId="0" xfId="0" applyFont="1"/>
    <xf numFmtId="0" fontId="0" fillId="2" borderId="2" xfId="0" applyFill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76" fontId="0" fillId="4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2" xfId="0" applyNumberFormat="1" applyFill="1" applyBorder="1"/>
    <xf numFmtId="17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1" fontId="0" fillId="0" borderId="2" xfId="0" applyNumberFormat="1" applyBorder="1"/>
    <xf numFmtId="0" fontId="10" fillId="0" borderId="0" xfId="0" applyFont="1"/>
    <xf numFmtId="176" fontId="13" fillId="0" borderId="2" xfId="0" applyNumberFormat="1" applyFont="1" applyBorder="1"/>
    <xf numFmtId="0" fontId="9" fillId="0" borderId="2" xfId="0" applyFont="1" applyBorder="1"/>
    <xf numFmtId="0" fontId="0" fillId="0" borderId="1" xfId="0" applyBorder="1"/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165" fontId="1" fillId="0" borderId="5" xfId="0" applyNumberFormat="1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166" fontId="1" fillId="0" borderId="5" xfId="0" applyNumberFormat="1" applyFont="1" applyBorder="1" applyAlignment="1">
      <alignment horizontal="right" vertical="center"/>
    </xf>
    <xf numFmtId="167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8" fontId="2" fillId="0" borderId="5" xfId="0" applyNumberFormat="1" applyFont="1" applyBorder="1" applyAlignment="1">
      <alignment horizontal="right" vertical="center"/>
    </xf>
    <xf numFmtId="168" fontId="1" fillId="0" borderId="5" xfId="0" applyNumberFormat="1" applyFont="1" applyBorder="1" applyAlignment="1">
      <alignment horizontal="right" vertical="center"/>
    </xf>
    <xf numFmtId="169" fontId="1" fillId="0" borderId="5" xfId="0" applyNumberFormat="1" applyFont="1" applyBorder="1" applyAlignment="1">
      <alignment horizontal="right" vertical="center"/>
    </xf>
    <xf numFmtId="170" fontId="1" fillId="0" borderId="5" xfId="0" applyNumberFormat="1" applyFont="1" applyBorder="1" applyAlignment="1">
      <alignment horizontal="righ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167" fontId="1" fillId="2" borderId="5" xfId="0" applyNumberFormat="1" applyFont="1" applyFill="1" applyBorder="1" applyAlignment="1">
      <alignment horizontal="left" vertical="center"/>
    </xf>
    <xf numFmtId="173" fontId="1" fillId="0" borderId="5" xfId="0" applyNumberFormat="1" applyFont="1" applyBorder="1" applyAlignment="1">
      <alignment horizontal="right" vertical="center"/>
    </xf>
    <xf numFmtId="174" fontId="1" fillId="0" borderId="5" xfId="0" applyNumberFormat="1" applyFont="1" applyBorder="1" applyAlignment="1">
      <alignment horizontal="right" vertical="center"/>
    </xf>
    <xf numFmtId="169" fontId="10" fillId="0" borderId="5" xfId="0" applyNumberFormat="1" applyFont="1" applyBorder="1" applyAlignment="1">
      <alignment horizontal="right" vertical="center"/>
    </xf>
    <xf numFmtId="175" fontId="10" fillId="0" borderId="5" xfId="0" applyNumberFormat="1" applyFont="1" applyBorder="1" applyAlignment="1">
      <alignment horizontal="right" vertical="center"/>
    </xf>
    <xf numFmtId="0" fontId="0" fillId="0" borderId="4" xfId="0" applyBorder="1"/>
    <xf numFmtId="0" fontId="13" fillId="0" borderId="3" xfId="0" applyFont="1" applyBorder="1"/>
    <xf numFmtId="0" fontId="13" fillId="0" borderId="2" xfId="0" applyFont="1" applyBorder="1"/>
    <xf numFmtId="2" fontId="13" fillId="0" borderId="2" xfId="0" applyNumberFormat="1" applyFont="1" applyBorder="1"/>
    <xf numFmtId="171" fontId="2" fillId="0" borderId="5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/>
    </xf>
    <xf numFmtId="174" fontId="10" fillId="0" borderId="5" xfId="0" applyNumberFormat="1" applyFont="1" applyBorder="1" applyAlignment="1">
      <alignment horizontal="right" vertical="center"/>
    </xf>
    <xf numFmtId="164" fontId="10" fillId="0" borderId="5" xfId="0" applyNumberFormat="1" applyFont="1" applyBorder="1" applyAlignment="1">
      <alignment horizontal="right" vertical="center"/>
    </xf>
    <xf numFmtId="165" fontId="10" fillId="0" borderId="5" xfId="0" applyNumberFormat="1" applyFont="1" applyBorder="1" applyAlignment="1">
      <alignment horizontal="right" vertical="center"/>
    </xf>
    <xf numFmtId="166" fontId="10" fillId="0" borderId="5" xfId="0" applyNumberFormat="1" applyFont="1" applyBorder="1" applyAlignment="1">
      <alignment horizontal="right" vertical="center"/>
    </xf>
    <xf numFmtId="167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6" fillId="0" borderId="5" xfId="0" applyNumberFormat="1" applyFont="1" applyBorder="1" applyAlignment="1">
      <alignment horizontal="right" vertical="center"/>
    </xf>
    <xf numFmtId="168" fontId="10" fillId="0" borderId="5" xfId="0" applyNumberFormat="1" applyFont="1" applyBorder="1" applyAlignment="1">
      <alignment horizontal="right" vertical="center"/>
    </xf>
    <xf numFmtId="170" fontId="10" fillId="0" borderId="5" xfId="0" applyNumberFormat="1" applyFont="1" applyBorder="1" applyAlignment="1">
      <alignment horizontal="right" vertical="center"/>
    </xf>
    <xf numFmtId="172" fontId="10" fillId="0" borderId="5" xfId="0" applyNumberFormat="1" applyFont="1" applyBorder="1" applyAlignment="1">
      <alignment horizontal="right" vertical="center"/>
    </xf>
    <xf numFmtId="173" fontId="10" fillId="0" borderId="5" xfId="0" applyNumberFormat="1" applyFont="1" applyBorder="1" applyAlignment="1">
      <alignment horizontal="right" vertical="center"/>
    </xf>
    <xf numFmtId="0" fontId="10" fillId="0" borderId="5" xfId="0" applyFont="1" applyBorder="1"/>
    <xf numFmtId="0" fontId="10" fillId="4" borderId="5" xfId="0" applyFont="1" applyFill="1" applyBorder="1" applyAlignment="1">
      <alignment horizontal="left" vertical="center"/>
    </xf>
    <xf numFmtId="165" fontId="10" fillId="4" borderId="5" xfId="0" applyNumberFormat="1" applyFont="1" applyFill="1" applyBorder="1" applyAlignment="1">
      <alignment horizontal="right" vertical="center"/>
    </xf>
    <xf numFmtId="169" fontId="10" fillId="4" borderId="5" xfId="0" applyNumberFormat="1" applyFont="1" applyFill="1" applyBorder="1" applyAlignment="1">
      <alignment horizontal="right" vertical="center"/>
    </xf>
    <xf numFmtId="170" fontId="10" fillId="4" borderId="5" xfId="0" applyNumberFormat="1" applyFont="1" applyFill="1" applyBorder="1" applyAlignment="1">
      <alignment horizontal="right" vertical="center"/>
    </xf>
    <xf numFmtId="0" fontId="20" fillId="0" borderId="0" xfId="0" applyFont="1"/>
    <xf numFmtId="176" fontId="0" fillId="0" borderId="2" xfId="0" applyNumberFormat="1" applyBorder="1"/>
    <xf numFmtId="2" fontId="0" fillId="0" borderId="0" xfId="0" applyNumberFormat="1"/>
    <xf numFmtId="0" fontId="0" fillId="3" borderId="2" xfId="0" applyFill="1" applyBorder="1"/>
    <xf numFmtId="0" fontId="14" fillId="3" borderId="2" xfId="0" applyFont="1" applyFill="1" applyBorder="1"/>
    <xf numFmtId="0" fontId="0" fillId="5" borderId="0" xfId="0" applyFill="1"/>
    <xf numFmtId="176" fontId="0" fillId="3" borderId="2" xfId="0" applyNumberFormat="1" applyFill="1" applyBorder="1"/>
    <xf numFmtId="176" fontId="14" fillId="5" borderId="2" xfId="0" applyNumberFormat="1" applyFont="1" applyFill="1" applyBorder="1"/>
    <xf numFmtId="0" fontId="21" fillId="3" borderId="2" xfId="0" applyFont="1" applyFill="1" applyBorder="1"/>
    <xf numFmtId="176" fontId="0" fillId="5" borderId="2" xfId="0" applyNumberFormat="1" applyFill="1" applyBorder="1"/>
    <xf numFmtId="0" fontId="22" fillId="3" borderId="2" xfId="0" applyFont="1" applyFill="1" applyBorder="1"/>
    <xf numFmtId="176" fontId="0" fillId="6" borderId="2" xfId="0" applyNumberFormat="1" applyFill="1" applyBorder="1"/>
    <xf numFmtId="176" fontId="21" fillId="6" borderId="2" xfId="0" applyNumberFormat="1" applyFont="1" applyFill="1" applyBorder="1"/>
    <xf numFmtId="0" fontId="2" fillId="4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56</xdr:row>
      <xdr:rowOff>19199</xdr:rowOff>
    </xdr:from>
    <xdr:to>
      <xdr:col>3</xdr:col>
      <xdr:colOff>520700</xdr:colOff>
      <xdr:row>73</xdr:row>
      <xdr:rowOff>130626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6716724-2DE5-4A5E-BBF8-7B334B23B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782449"/>
          <a:ext cx="4645024" cy="3349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F80D-1B6B-49EA-8818-C6C001A9FE79}">
  <dimension ref="A1:AF38"/>
  <sheetViews>
    <sheetView topLeftCell="E1" zoomScale="85" zoomScaleNormal="85" workbookViewId="0">
      <selection activeCell="B3" sqref="B3"/>
    </sheetView>
  </sheetViews>
  <sheetFormatPr baseColWidth="10" defaultRowHeight="15" x14ac:dyDescent="0.2"/>
  <cols>
    <col min="3" max="3" width="14.5" customWidth="1"/>
    <col min="7" max="7" width="12.83203125" bestFit="1" customWidth="1"/>
    <col min="11" max="11" width="15.5" customWidth="1"/>
  </cols>
  <sheetData>
    <row r="1" spans="1:32" ht="52" x14ac:dyDescent="0.2">
      <c r="A1" s="1"/>
      <c r="B1" s="1"/>
      <c r="C1" s="30" t="s">
        <v>284</v>
      </c>
      <c r="D1" s="30" t="s">
        <v>288</v>
      </c>
      <c r="E1" s="1"/>
      <c r="F1" s="1"/>
      <c r="G1" s="1" t="s">
        <v>289</v>
      </c>
      <c r="H1" s="1" t="s">
        <v>290</v>
      </c>
      <c r="I1" s="1" t="s">
        <v>291</v>
      </c>
      <c r="J1" s="1" t="s">
        <v>292</v>
      </c>
      <c r="L1" s="1"/>
      <c r="M1" s="1"/>
      <c r="N1" s="30" t="s">
        <v>285</v>
      </c>
      <c r="O1" s="30" t="s">
        <v>288</v>
      </c>
      <c r="P1" s="1"/>
      <c r="Q1" s="1"/>
      <c r="R1" s="1" t="s">
        <v>289</v>
      </c>
      <c r="S1" s="1" t="s">
        <v>290</v>
      </c>
      <c r="T1" s="1" t="s">
        <v>291</v>
      </c>
      <c r="U1" s="1" t="s">
        <v>292</v>
      </c>
      <c r="W1" s="1"/>
      <c r="X1" s="1"/>
      <c r="Y1" s="30" t="s">
        <v>286</v>
      </c>
      <c r="Z1" s="30" t="s">
        <v>288</v>
      </c>
      <c r="AA1" s="1"/>
      <c r="AB1" s="1"/>
      <c r="AC1" s="1" t="s">
        <v>289</v>
      </c>
      <c r="AD1" s="1" t="s">
        <v>290</v>
      </c>
      <c r="AE1" s="1" t="s">
        <v>291</v>
      </c>
      <c r="AF1" s="1" t="s">
        <v>292</v>
      </c>
    </row>
    <row r="2" spans="1:32" x14ac:dyDescent="0.2">
      <c r="A2" s="75" t="s">
        <v>149</v>
      </c>
      <c r="B2" s="2">
        <f>B17+1</f>
        <v>13</v>
      </c>
      <c r="C2" s="78" t="e">
        <f>#REF!</f>
        <v>#REF!</v>
      </c>
      <c r="D2" s="75" t="e">
        <f>IF(OR(C2&lt;QUARTILE($C$2:$C$5,1)-1.5*$G$2,C2&gt;QUARTILE($C$2:$C$5,3)+1.5*$G$2),1,0)</f>
        <v>#REF!</v>
      </c>
      <c r="E2" s="75"/>
      <c r="F2" s="75"/>
      <c r="G2" s="75" t="e">
        <f>QUARTILE(C2:C5,3)-QUARTILE(C2:C5,1)</f>
        <v>#REF!</v>
      </c>
      <c r="H2" s="1"/>
      <c r="I2" s="1"/>
      <c r="J2" s="1"/>
      <c r="L2" s="75" t="s">
        <v>149</v>
      </c>
      <c r="M2" s="2">
        <f>M17+1</f>
        <v>13</v>
      </c>
      <c r="N2" s="73" t="e">
        <f>#REF!</f>
        <v>#REF!</v>
      </c>
      <c r="O2" s="75" t="e">
        <f>IF(OR(N2&lt;QUARTILE($N$2:$N$5,1)-1.5*$R$2,N2&gt;QUARTILE($N$2:$N$5,3)+1.5*$R$2),1,0)</f>
        <v>#REF!</v>
      </c>
      <c r="P2" s="1"/>
      <c r="Q2" s="1"/>
      <c r="R2" s="75" t="e">
        <f>QUARTILE(N2:N5,3)-QUARTILE(N2:N5,1)</f>
        <v>#REF!</v>
      </c>
      <c r="S2" s="1"/>
      <c r="T2" s="1"/>
      <c r="U2" s="1"/>
      <c r="W2" s="75" t="s">
        <v>149</v>
      </c>
      <c r="X2" s="2">
        <f>X17+1</f>
        <v>13</v>
      </c>
      <c r="Y2" s="73" t="e">
        <f>#REF!</f>
        <v>#REF!</v>
      </c>
      <c r="Z2" s="75" t="e">
        <f>IF(OR(Y2&lt;QUARTILE($Y$2:$Y$5,1)-1.5*$AC$2,Y2&gt;QUARTILE($Y$2:$Y$5,3)+1.5*$AC$2),1,0)</f>
        <v>#REF!</v>
      </c>
      <c r="AA2" s="1"/>
      <c r="AB2" s="1"/>
      <c r="AC2" s="75" t="e">
        <f>QUARTILE(Y2:Y5,3)-QUARTILE(Y2:Y5,1)</f>
        <v>#REF!</v>
      </c>
      <c r="AD2" s="1"/>
      <c r="AE2" s="1"/>
      <c r="AF2" s="1"/>
    </row>
    <row r="3" spans="1:32" x14ac:dyDescent="0.2">
      <c r="A3" s="1"/>
      <c r="B3" s="2">
        <f>B2+1</f>
        <v>14</v>
      </c>
      <c r="C3" s="79" t="e">
        <f>#REF!</f>
        <v>#REF!</v>
      </c>
      <c r="D3" s="1" t="e">
        <f>IF(OR(C3&lt;QUARTILE($C$2:$C$5,1)-1.5*$G$2,C3&gt;QUARTILE($C$2:$C$5,3)+1.5*$G$2),1,0)</f>
        <v>#REF!</v>
      </c>
      <c r="E3" s="1"/>
      <c r="F3" s="1"/>
      <c r="G3" s="1"/>
      <c r="H3" s="1"/>
      <c r="I3" s="1"/>
      <c r="J3" s="1"/>
      <c r="L3" s="1"/>
      <c r="M3" s="2">
        <f>M2+1</f>
        <v>14</v>
      </c>
      <c r="N3" s="73" t="e">
        <f>#REF!</f>
        <v>#REF!</v>
      </c>
      <c r="O3" s="75" t="e">
        <f>IF(OR(N3&lt;QUARTILE($N$2:$N$5,1)-1.5*$R$2,N3&gt;QUARTILE($N$2:$N$5,3)+1.5*$R$2),1,0)</f>
        <v>#REF!</v>
      </c>
      <c r="P3" s="1"/>
      <c r="Q3" s="1"/>
      <c r="R3" s="1"/>
      <c r="S3" s="1"/>
      <c r="T3" s="1"/>
      <c r="U3" s="1"/>
      <c r="W3" s="1"/>
      <c r="X3" s="2">
        <f>X2+1</f>
        <v>14</v>
      </c>
      <c r="Y3" s="73" t="e">
        <f>#REF!</f>
        <v>#REF!</v>
      </c>
      <c r="Z3" s="75" t="e">
        <f>IF(OR(Y3&lt;QUARTILE($Y$2:$Y$5,1)-1.5*$AC$2,Y3&gt;QUARTILE($Y$2:$Y$5,3)+1.5*$AC$2),1,0)</f>
        <v>#REF!</v>
      </c>
      <c r="AA3" s="1"/>
      <c r="AB3" s="1"/>
      <c r="AC3" s="1"/>
      <c r="AD3" s="1"/>
      <c r="AE3" s="1"/>
      <c r="AF3" s="1"/>
    </row>
    <row r="4" spans="1:32" x14ac:dyDescent="0.2">
      <c r="A4" s="1"/>
      <c r="B4" s="2">
        <f>B3+1</f>
        <v>15</v>
      </c>
      <c r="C4" s="73" t="e">
        <f>#REF!</f>
        <v>#REF!</v>
      </c>
      <c r="D4" s="75" t="e">
        <f>IF(OR(C4&lt;QUARTILE($C$2:$C$5,1)-1.5*$G$2,C4&gt;QUARTILE($C$2:$C$5,3)+1.5*$G$2),1,0)</f>
        <v>#REF!</v>
      </c>
      <c r="E4" s="1" t="e">
        <f>#REF!</f>
        <v>#REF!</v>
      </c>
      <c r="F4" s="1" t="s">
        <v>145</v>
      </c>
      <c r="G4" s="1"/>
      <c r="H4" s="1"/>
      <c r="I4" s="1"/>
      <c r="J4" s="1"/>
      <c r="L4" s="1"/>
      <c r="M4" s="2">
        <f>M3+1</f>
        <v>15</v>
      </c>
      <c r="N4" s="73" t="e">
        <f>#REF!</f>
        <v>#REF!</v>
      </c>
      <c r="O4" s="75" t="e">
        <f>IF(OR(N4&lt;QUARTILE($N$2:$N$5,1)-1.5*$R$2,N4&gt;QUARTILE($N$2:$N$5,3)+1.5*$R$2),1,0)</f>
        <v>#REF!</v>
      </c>
      <c r="P4" s="1"/>
      <c r="Q4" s="1"/>
      <c r="R4" s="1"/>
      <c r="S4" s="1"/>
      <c r="T4" s="1"/>
      <c r="U4" s="1"/>
      <c r="W4" s="1"/>
      <c r="X4" s="2">
        <f>X3+1</f>
        <v>15</v>
      </c>
      <c r="Y4" s="73" t="e">
        <f>#REF!</f>
        <v>#REF!</v>
      </c>
      <c r="Z4" s="75" t="e">
        <f>IF(OR(Y4&lt;QUARTILE($Y$2:$Y$5,1)-1.5*$AC$2,Y4&gt;QUARTILE($Y$2:$Y$5,3)+1.5*$AC$2),1,0)</f>
        <v>#REF!</v>
      </c>
      <c r="AA4" s="1"/>
      <c r="AB4" s="1"/>
      <c r="AC4" s="1"/>
      <c r="AD4" s="1"/>
      <c r="AE4" s="1"/>
      <c r="AF4" s="1"/>
    </row>
    <row r="5" spans="1:32" x14ac:dyDescent="0.2">
      <c r="A5" s="1"/>
      <c r="B5" s="2">
        <f>B4+1</f>
        <v>16</v>
      </c>
      <c r="C5" s="73" t="e">
        <f>#REF!</f>
        <v>#REF!</v>
      </c>
      <c r="D5" s="75" t="e">
        <f>IF(OR(C5&lt;QUARTILE($C$2:$C$5,1)-1.5*$G$2,C5&gt;QUARTILE($C$2:$C$5,3)+1.5*$G$2),1,0)</f>
        <v>#REF!</v>
      </c>
      <c r="E5" s="1" t="e">
        <f>#REF!</f>
        <v>#REF!</v>
      </c>
      <c r="F5" s="1" t="s">
        <v>287</v>
      </c>
      <c r="G5" s="1"/>
      <c r="H5" s="1"/>
      <c r="I5" s="1"/>
      <c r="J5" s="1"/>
      <c r="L5" s="1"/>
      <c r="M5" s="2">
        <f>M4+1</f>
        <v>16</v>
      </c>
      <c r="N5" s="73" t="e">
        <f>#REF!</f>
        <v>#REF!</v>
      </c>
      <c r="O5" s="75" t="e">
        <f>IF(OR(N5&lt;QUARTILE($N$2:$N$5,1)-1.5*$R$2,N5&gt;QUARTILE($N$2:$N$5,3)+1.5*$R$2),1,0)</f>
        <v>#REF!</v>
      </c>
      <c r="P5" s="1"/>
      <c r="Q5" s="1"/>
      <c r="R5" s="1"/>
      <c r="S5" s="1"/>
      <c r="T5" s="1"/>
      <c r="U5" s="1"/>
      <c r="W5" s="1"/>
      <c r="X5" s="2">
        <f>X4+1</f>
        <v>16</v>
      </c>
      <c r="Y5" s="73" t="e">
        <f>#REF!</f>
        <v>#REF!</v>
      </c>
      <c r="Z5" s="75" t="e">
        <f>IF(OR(Y5&lt;QUARTILE($Y$2:$Y$5,1)-1.5*$AC$2,Y5&gt;QUARTILE($Y$2:$Y$5,3)+1.5*$AC$2),1,0)</f>
        <v>#REF!</v>
      </c>
      <c r="AA5" s="1"/>
      <c r="AB5" s="1"/>
      <c r="AC5" s="1"/>
      <c r="AD5" s="1"/>
      <c r="AE5" s="1"/>
      <c r="AF5" s="1"/>
    </row>
    <row r="6" spans="1:32" x14ac:dyDescent="0.2">
      <c r="A6" s="75" t="str">
        <f>Versuchsdurchführung!$A$5</f>
        <v>Fe-EDDHA</v>
      </c>
      <c r="B6" s="2">
        <v>1</v>
      </c>
      <c r="C6" s="78" t="e">
        <f>#REF!</f>
        <v>#REF!</v>
      </c>
      <c r="D6" s="75" t="e">
        <f>IF(OR(C6&lt;QUARTILE($C$6:$C$9,1)-1.5*$G$6,C6&gt;QUARTILE($C$6:$C$9,3)+1.5*$G$6),1,0)</f>
        <v>#REF!</v>
      </c>
      <c r="E6" s="75"/>
      <c r="F6" s="75"/>
      <c r="G6" s="75" t="e">
        <f>QUARTILE(C6:C9,3)-QUARTILE(C6:C9,1)</f>
        <v>#REF!</v>
      </c>
      <c r="H6" s="1"/>
      <c r="I6" s="1"/>
      <c r="J6" s="1"/>
      <c r="L6" s="75" t="str">
        <f>Versuchsdurchführung!$A$5</f>
        <v>Fe-EDDHA</v>
      </c>
      <c r="M6" s="2">
        <v>1</v>
      </c>
      <c r="N6" s="73" t="e">
        <f>#REF!</f>
        <v>#REF!</v>
      </c>
      <c r="O6" s="75" t="e">
        <f>IF(OR(N6&lt;QUARTILE($N$6:$N$9,1)-1.5*$R$6,N6&gt;QUARTILE($N$6:$N$9,3)+1.5*$R$6),1,0)</f>
        <v>#REF!</v>
      </c>
      <c r="P6" s="1"/>
      <c r="Q6" s="1"/>
      <c r="R6" s="76" t="e">
        <f>QUARTILE(N6:N9,3)-QUARTILE(N6:N9,1)</f>
        <v>#REF!</v>
      </c>
      <c r="S6" s="1"/>
      <c r="T6" s="1"/>
      <c r="U6" s="1"/>
      <c r="W6" s="75" t="str">
        <f>Versuchsdurchführung!$A$5</f>
        <v>Fe-EDDHA</v>
      </c>
      <c r="X6" s="2">
        <v>1</v>
      </c>
      <c r="Y6" s="73" t="e">
        <f>#REF!</f>
        <v>#REF!</v>
      </c>
      <c r="Z6" s="75" t="e">
        <f>IF(OR(Y6&lt;QUARTILE($Y$6:$Y$9,1)-1.5*$AC$6,Y6&gt;QUARTILE($Y$6:$Y$9,3)+1.5*$AC$6),1,0)</f>
        <v>#REF!</v>
      </c>
      <c r="AA6" s="1"/>
      <c r="AB6" s="1"/>
      <c r="AC6" s="75" t="e">
        <f>QUARTILE(Y6:Y9,3)-QUARTILE(Y6:Y9,1)</f>
        <v>#REF!</v>
      </c>
      <c r="AD6" s="1"/>
      <c r="AE6" s="1"/>
      <c r="AF6" s="1"/>
    </row>
    <row r="7" spans="1:32" x14ac:dyDescent="0.2">
      <c r="A7" s="1"/>
      <c r="B7" s="2">
        <f t="shared" ref="B7:B17" si="0">B6+1</f>
        <v>2</v>
      </c>
      <c r="C7" s="73" t="e">
        <f>#REF!</f>
        <v>#REF!</v>
      </c>
      <c r="D7" s="75" t="e">
        <f>IF(OR(C7&lt;QUARTILE($C$6:$C$9,1)-1.5*$G$6,C7&gt;QUARTILE($C$6:$C$9,3)+1.5*$G$6),1,0)</f>
        <v>#REF!</v>
      </c>
      <c r="E7" s="1"/>
      <c r="F7" s="1"/>
      <c r="G7" s="1"/>
      <c r="H7" s="1"/>
      <c r="I7" s="1"/>
      <c r="J7" s="1"/>
      <c r="L7" s="1"/>
      <c r="M7" s="2">
        <f t="shared" ref="M7:M17" si="1">M6+1</f>
        <v>2</v>
      </c>
      <c r="N7" s="73" t="e">
        <f>#REF!</f>
        <v>#REF!</v>
      </c>
      <c r="O7" s="75" t="e">
        <f>IF(OR(N7&lt;QUARTILE($N$6:$N$9,1)-1.5*$R$6,N7&gt;QUARTILE($N$6:$N$9,3)+1.5*$R$6),1,0)</f>
        <v>#REF!</v>
      </c>
      <c r="P7" s="1"/>
      <c r="Q7" s="1"/>
      <c r="R7" s="1"/>
      <c r="S7" s="1"/>
      <c r="T7" s="1"/>
      <c r="U7" s="1"/>
      <c r="W7" s="1"/>
      <c r="X7" s="2">
        <f t="shared" ref="X7:X17" si="2">X6+1</f>
        <v>2</v>
      </c>
      <c r="Y7" s="73" t="e">
        <f>#REF!</f>
        <v>#REF!</v>
      </c>
      <c r="Z7" s="75" t="e">
        <f>IF(OR(Y7&lt;QUARTILE($Y$6:$Y$9,1)-1.5*$AC$6,Y7&gt;QUARTILE($Y$6:$Y$9,3)+1.5*$AC$6),1,0)</f>
        <v>#REF!</v>
      </c>
      <c r="AA7" s="1"/>
      <c r="AB7" s="1"/>
      <c r="AC7" s="1"/>
      <c r="AD7" s="1"/>
      <c r="AE7" s="1"/>
      <c r="AF7" s="1"/>
    </row>
    <row r="8" spans="1:32" x14ac:dyDescent="0.2">
      <c r="A8" s="1"/>
      <c r="B8" s="2">
        <f t="shared" si="0"/>
        <v>3</v>
      </c>
      <c r="C8" s="73" t="e">
        <f>#REF!</f>
        <v>#REF!</v>
      </c>
      <c r="D8" s="75" t="e">
        <f>IF(OR(C8&lt;QUARTILE($C$6:$C$9,1)-1.5*$G$6,C8&gt;QUARTILE($C$6:$C$9,3)+1.5*$G$6),1,0)</f>
        <v>#REF!</v>
      </c>
      <c r="E8" s="1" t="e">
        <f>#REF!</f>
        <v>#REF!</v>
      </c>
      <c r="F8" s="1" t="s">
        <v>145</v>
      </c>
      <c r="G8" s="1"/>
      <c r="H8" s="1"/>
      <c r="I8" s="1"/>
      <c r="J8" s="1"/>
      <c r="L8" s="1"/>
      <c r="M8" s="2">
        <f t="shared" si="1"/>
        <v>3</v>
      </c>
      <c r="N8" s="73" t="e">
        <f>#REF!</f>
        <v>#REF!</v>
      </c>
      <c r="O8" s="75" t="e">
        <f>IF(OR(N8&lt;QUARTILE($N$6:$N$9,1)-1.5*$R$6,N8&gt;QUARTILE($N$6:$N$9,3)+1.5*$R$6),1,0)</f>
        <v>#REF!</v>
      </c>
      <c r="P8" s="1"/>
      <c r="Q8" s="1"/>
      <c r="R8" s="1"/>
      <c r="S8" s="1"/>
      <c r="T8" s="1"/>
      <c r="U8" s="1"/>
      <c r="W8" s="1"/>
      <c r="X8" s="2">
        <f t="shared" si="2"/>
        <v>3</v>
      </c>
      <c r="Y8" s="81" t="e">
        <f>#REF!</f>
        <v>#REF!</v>
      </c>
      <c r="Z8" s="1" t="e">
        <f>IF(OR(Y8&lt;QUARTILE($Y$6:$Y$9,1)-1.5*$AC$6,Y8&gt;QUARTILE($Y$6:$Y$9,3)+1.5*$AC$6),1,0)</f>
        <v>#REF!</v>
      </c>
      <c r="AA8" s="1"/>
      <c r="AB8" s="1"/>
      <c r="AC8" s="1"/>
      <c r="AD8" s="1"/>
      <c r="AE8" s="1"/>
      <c r="AF8" s="1"/>
    </row>
    <row r="9" spans="1:32" x14ac:dyDescent="0.2">
      <c r="A9" s="1"/>
      <c r="B9" s="2">
        <f t="shared" si="0"/>
        <v>4</v>
      </c>
      <c r="C9" s="79" t="e">
        <f>#REF!</f>
        <v>#REF!</v>
      </c>
      <c r="D9" s="1" t="e">
        <f>IF(OR(C9&lt;QUARTILE($C$6:$C$9,1)-1.5*$G$6,C9&gt;QUARTILE($C$6:$C$9,3)+1.5*$G$6),1,0)</f>
        <v>#REF!</v>
      </c>
      <c r="E9" s="1" t="e">
        <f>#REF!</f>
        <v>#REF!</v>
      </c>
      <c r="F9" s="1" t="s">
        <v>287</v>
      </c>
      <c r="G9" s="1"/>
      <c r="H9" s="1"/>
      <c r="I9" s="1"/>
      <c r="J9" s="1"/>
      <c r="L9" s="1"/>
      <c r="M9" s="2">
        <f t="shared" si="1"/>
        <v>4</v>
      </c>
      <c r="N9" s="81" t="e">
        <f>#REF!</f>
        <v>#REF!</v>
      </c>
      <c r="O9" s="1" t="e">
        <f>IF(OR(N9&lt;QUARTILE($N$6:$N$9,1)-1.5*$R$6,N9&gt;QUARTILE($N$6:$N$9,3)+1.5*$R$6),1,0)</f>
        <v>#REF!</v>
      </c>
      <c r="P9" s="1"/>
      <c r="Q9" s="1"/>
      <c r="R9" s="1"/>
      <c r="S9" s="1"/>
      <c r="T9" s="1"/>
      <c r="U9" s="1"/>
      <c r="W9" s="1"/>
      <c r="X9" s="2">
        <f t="shared" si="2"/>
        <v>4</v>
      </c>
      <c r="Y9" s="73" t="e">
        <f>#REF!</f>
        <v>#REF!</v>
      </c>
      <c r="Z9" s="75" t="e">
        <f>IF(OR(Y9&lt;QUARTILE($Y$6:$Y$9,1)-1.5*$AC$6,Y9&gt;QUARTILE($Y$6:$Y$9,3)+1.5*$AC$6),1,0)</f>
        <v>#REF!</v>
      </c>
      <c r="AA9" s="1"/>
      <c r="AB9" s="1"/>
      <c r="AC9" s="1"/>
      <c r="AD9" s="1"/>
      <c r="AE9" s="1"/>
      <c r="AF9" s="1"/>
    </row>
    <row r="10" spans="1:32" x14ac:dyDescent="0.2">
      <c r="A10" s="75" t="str">
        <f>Versuchsdurchführung!$A$5</f>
        <v>Fe-EDDHA</v>
      </c>
      <c r="B10" s="2">
        <f t="shared" si="0"/>
        <v>5</v>
      </c>
      <c r="C10" s="78" t="e">
        <f>#REF!</f>
        <v>#REF!</v>
      </c>
      <c r="D10" s="75" t="e">
        <f>IF(OR(C10&lt;QUARTILE($C$10:$C$13,1)-1.5*$G$10,C10&gt;QUARTILE($C$10:$C$13,3)+1.5*$G$10),1,0)</f>
        <v>#REF!</v>
      </c>
      <c r="E10" s="75"/>
      <c r="F10" s="75"/>
      <c r="G10" s="76" t="e">
        <f>QUARTILE(C10:C13,3)-QUARTILE(C10:C13,1)</f>
        <v>#REF!</v>
      </c>
      <c r="H10" s="1" t="e">
        <f>QUARTILE(C10:C13,3)</f>
        <v>#REF!</v>
      </c>
      <c r="I10" s="1" t="e">
        <f>QUARTILE(C10:C13,1)</f>
        <v>#REF!</v>
      </c>
      <c r="J10" s="1" t="e">
        <f>QUARTILE(C10:C13,2)</f>
        <v>#REF!</v>
      </c>
      <c r="L10" s="75" t="str">
        <f>Versuchsdurchführung!$A$5</f>
        <v>Fe-EDDHA</v>
      </c>
      <c r="M10" s="2">
        <f t="shared" si="1"/>
        <v>5</v>
      </c>
      <c r="N10" s="73" t="e">
        <f>#REF!</f>
        <v>#REF!</v>
      </c>
      <c r="O10" s="75" t="e">
        <f>IF(OR(N10&lt;QUARTILE($N$10:$N$13,1)-1.5*$R$10,N10&gt;QUARTILE($N$10:$N$13,3)+1.5*$R$10),1,0)</f>
        <v>#REF!</v>
      </c>
      <c r="P10" s="1"/>
      <c r="Q10" s="1"/>
      <c r="R10" s="76" t="e">
        <f>QUARTILE(N10:N13,3)-QUARTILE(N10:N13,1)</f>
        <v>#REF!</v>
      </c>
      <c r="S10" s="1"/>
      <c r="T10" s="1"/>
      <c r="U10" s="1"/>
      <c r="W10" s="75" t="str">
        <f>Versuchsdurchführung!$A$5</f>
        <v>Fe-EDDHA</v>
      </c>
      <c r="X10" s="2">
        <f t="shared" si="2"/>
        <v>5</v>
      </c>
      <c r="Y10" s="73" t="e">
        <f>#REF!</f>
        <v>#REF!</v>
      </c>
      <c r="Z10" s="75" t="e">
        <f>IF(OR(Y10&lt;QUARTILE($Y$10:$Y$13,1)-1.5*$AC$10,Y10&gt;QUARTILE($Y$10:$Y$13,3)+1.5*$AC$10),1,0)</f>
        <v>#REF!</v>
      </c>
      <c r="AA10" s="1"/>
      <c r="AB10" s="1"/>
      <c r="AC10" s="82" t="e">
        <f>QUARTILE(Y10:Y13,3)-QUARTILE(Y10:Y13,1)</f>
        <v>#REF!</v>
      </c>
      <c r="AD10" s="1"/>
      <c r="AE10" s="1"/>
      <c r="AF10" s="1"/>
    </row>
    <row r="11" spans="1:32" x14ac:dyDescent="0.2">
      <c r="A11" s="1"/>
      <c r="B11" s="2">
        <f t="shared" si="0"/>
        <v>6</v>
      </c>
      <c r="C11" s="73" t="e">
        <f>#REF!</f>
        <v>#REF!</v>
      </c>
      <c r="D11" s="75" t="e">
        <f>IF(OR(C11&lt;QUARTILE($C$10:$C$13,1)-1.5*$G$10,C11&gt;QUARTILE($C$10:$C$13,3)+1.5*$G$10),1,0)</f>
        <v>#REF!</v>
      </c>
      <c r="E11" s="1"/>
      <c r="F11" s="1"/>
      <c r="G11" s="1"/>
      <c r="H11" s="1"/>
      <c r="I11" s="1"/>
      <c r="J11" s="1"/>
      <c r="L11" s="1"/>
      <c r="M11" s="2">
        <f t="shared" si="1"/>
        <v>6</v>
      </c>
      <c r="N11" s="73" t="e">
        <f>#REF!</f>
        <v>#REF!</v>
      </c>
      <c r="O11" s="75" t="e">
        <f>IF(OR(N11&lt;QUARTILE($N$10:$N$13,1)-1.5*$R$10,N11&gt;QUARTILE($N$10:$N$13,3)+1.5*$R$10),1,0)</f>
        <v>#REF!</v>
      </c>
      <c r="P11" s="1"/>
      <c r="Q11" s="1"/>
      <c r="R11" s="1"/>
      <c r="S11" s="1"/>
      <c r="T11" s="1"/>
      <c r="U11" s="1"/>
      <c r="W11" s="1"/>
      <c r="X11" s="2">
        <f t="shared" si="2"/>
        <v>6</v>
      </c>
      <c r="Y11" s="73" t="e">
        <f>#REF!</f>
        <v>#REF!</v>
      </c>
      <c r="Z11" s="75" t="e">
        <f>IF(OR(Y11&lt;QUARTILE($Y$10:$Y$13,1)-1.5*$AC$10,Y11&gt;QUARTILE($Y$10:$Y$13,3)+1.5*$AC$10),1,0)</f>
        <v>#REF!</v>
      </c>
      <c r="AA11" s="1"/>
      <c r="AB11" s="1"/>
      <c r="AC11" s="1"/>
      <c r="AD11" s="1"/>
      <c r="AE11" s="1"/>
      <c r="AF11" s="1"/>
    </row>
    <row r="12" spans="1:32" x14ac:dyDescent="0.2">
      <c r="A12" s="1"/>
      <c r="B12" s="2">
        <f t="shared" si="0"/>
        <v>7</v>
      </c>
      <c r="C12" s="84" t="e">
        <f>#REF!</f>
        <v>#REF!</v>
      </c>
      <c r="D12" s="75" t="e">
        <f>IF(OR(C12&lt;QUARTILE($C$10:$C$13,1)-1.5*$G$10,C12&gt;QUARTILE($C$10:$C$13,3)+1.5*$G$10),1,0)</f>
        <v>#REF!</v>
      </c>
      <c r="E12" s="1" t="e">
        <f>#REF!</f>
        <v>#REF!</v>
      </c>
      <c r="F12" s="1" t="s">
        <v>145</v>
      </c>
      <c r="G12" s="1"/>
      <c r="H12" s="1" t="s">
        <v>294</v>
      </c>
      <c r="I12" s="1"/>
      <c r="J12" s="1"/>
      <c r="L12" s="1"/>
      <c r="M12" s="2">
        <f t="shared" si="1"/>
        <v>7</v>
      </c>
      <c r="N12" s="83" t="e">
        <f>#REF!</f>
        <v>#REF!</v>
      </c>
      <c r="O12" s="75" t="e">
        <f>IF(OR(N12&lt;QUARTILE($N$10:$N$13,1)-1.5*$R$10,N12&gt;QUARTILE($N$10:$N$13,3)+1.5*$R$10),1,0)</f>
        <v>#REF!</v>
      </c>
      <c r="P12" s="1"/>
      <c r="Q12" s="1"/>
      <c r="R12" s="1"/>
      <c r="S12" s="1"/>
      <c r="T12" s="1"/>
      <c r="U12" s="1"/>
      <c r="W12" s="1"/>
      <c r="X12" s="2">
        <f t="shared" si="2"/>
        <v>7</v>
      </c>
      <c r="Y12" s="83" t="e">
        <f>#REF!</f>
        <v>#REF!</v>
      </c>
      <c r="Z12" s="75" t="e">
        <f>IF(OR(Y12&lt;QUARTILE($Y$10:$Y$13,1)-1.5*$AC$10,Y12&gt;QUARTILE($Y$10:$Y$13,3)+1.5*$AC$10),1,0)</f>
        <v>#REF!</v>
      </c>
      <c r="AA12" s="1"/>
      <c r="AB12" s="1"/>
      <c r="AC12" s="1"/>
      <c r="AD12" s="1"/>
      <c r="AE12" s="1"/>
      <c r="AF12" s="1"/>
    </row>
    <row r="13" spans="1:32" x14ac:dyDescent="0.2">
      <c r="A13" s="1"/>
      <c r="B13" s="2">
        <f t="shared" si="0"/>
        <v>8</v>
      </c>
      <c r="C13" s="84" t="e">
        <f>#REF!</f>
        <v>#REF!</v>
      </c>
      <c r="D13" s="75" t="e">
        <f>IF(OR(C13&lt;QUARTILE($C$10:$C$13,1)-1.5*$G$10,C13&gt;QUARTILE($C$10:$C$13,3)+1.5*$G$10),1,0)</f>
        <v>#REF!</v>
      </c>
      <c r="E13" s="1" t="e">
        <f>#REF!</f>
        <v>#REF!</v>
      </c>
      <c r="F13" s="1" t="s">
        <v>287</v>
      </c>
      <c r="G13" s="1"/>
      <c r="H13" s="1" t="s">
        <v>295</v>
      </c>
      <c r="I13" s="1"/>
      <c r="J13" s="1"/>
      <c r="L13" s="1"/>
      <c r="M13" s="2">
        <f t="shared" si="1"/>
        <v>8</v>
      </c>
      <c r="N13" s="83" t="e">
        <f>#REF!</f>
        <v>#REF!</v>
      </c>
      <c r="O13" s="75" t="e">
        <f>IF(OR(N13&lt;QUARTILE($N$10:$N$13,1)-1.5*$R$10,N13&gt;QUARTILE($N$10:$N$13,3)+1.5*$R$10),1,0)</f>
        <v>#REF!</v>
      </c>
      <c r="P13" s="1"/>
      <c r="Q13" s="1"/>
      <c r="R13" s="1"/>
      <c r="S13" s="1"/>
      <c r="T13" s="1"/>
      <c r="U13" s="1"/>
      <c r="W13" s="1"/>
      <c r="X13" s="2">
        <f t="shared" si="2"/>
        <v>8</v>
      </c>
      <c r="Y13" s="83" t="e">
        <f>#REF!</f>
        <v>#REF!</v>
      </c>
      <c r="Z13" s="75" t="e">
        <f>IF(OR(Y13&lt;QUARTILE($Y$10:$Y$13,1)-1.5*$AC$10,Y13&gt;QUARTILE($Y$10:$Y$13,3)+1.5*$AC$10),1,0)</f>
        <v>#REF!</v>
      </c>
      <c r="AA13" s="1"/>
      <c r="AB13" s="1"/>
      <c r="AC13" s="1"/>
      <c r="AD13" s="1"/>
      <c r="AE13" s="1"/>
      <c r="AF13" s="1"/>
    </row>
    <row r="14" spans="1:32" x14ac:dyDescent="0.2">
      <c r="A14" s="75" t="str">
        <f>Versuchsdurchführung!$A$5</f>
        <v>Fe-EDDHA</v>
      </c>
      <c r="B14" s="2">
        <f t="shared" si="0"/>
        <v>9</v>
      </c>
      <c r="C14" s="78" t="e">
        <f>#REF!</f>
        <v>#REF!</v>
      </c>
      <c r="D14" s="75" t="e">
        <f>IF(OR(C14&lt;QUARTILE($C$14:$C$17,1)-1.5*$G$14,C14&gt;QUARTILE($C$14:$C$17,3)+1.5*$G$14),1,0)</f>
        <v>#REF!</v>
      </c>
      <c r="E14" s="75"/>
      <c r="F14" s="75"/>
      <c r="G14" s="75" t="e">
        <f>QUARTILE(C14:C17,3)-QUARTILE(C14:C17,1)</f>
        <v>#REF!</v>
      </c>
      <c r="H14" s="1"/>
      <c r="I14" s="1"/>
      <c r="J14" s="1"/>
      <c r="L14" s="75" t="str">
        <f>Versuchsdurchführung!$A$5</f>
        <v>Fe-EDDHA</v>
      </c>
      <c r="M14" s="2">
        <f t="shared" si="1"/>
        <v>9</v>
      </c>
      <c r="N14" s="73" t="e">
        <f>#REF!</f>
        <v>#REF!</v>
      </c>
      <c r="O14" s="75" t="e">
        <f>IF(OR(N14&lt;QUARTILE($N$14:$N$17,1)-1.5*$R$14,N14&gt;QUARTILE($N$14:$N$17,3)+1.5*$R$14),1,0)</f>
        <v>#REF!</v>
      </c>
      <c r="P14" s="1"/>
      <c r="Q14" s="1"/>
      <c r="R14" s="75" t="e">
        <f>QUARTILE(N14:N17,3)-QUARTILE(N14:N17,1)</f>
        <v>#REF!</v>
      </c>
      <c r="S14" s="1"/>
      <c r="T14" s="1"/>
      <c r="U14" s="1"/>
      <c r="W14" s="75" t="str">
        <f>Versuchsdurchführung!$A$5</f>
        <v>Fe-EDDHA</v>
      </c>
      <c r="X14" s="2">
        <f t="shared" si="2"/>
        <v>9</v>
      </c>
      <c r="Y14" s="73" t="e">
        <f>#REF!</f>
        <v>#REF!</v>
      </c>
      <c r="Z14" s="75" t="e">
        <f>IF(OR(Y14&lt;QUARTILE($Y$14:$Y$17,1)-1.5*$AC$14,Y14&gt;QUARTILE($Y$14:$Y$17,3)+1.5*$AC$14),1,0)</f>
        <v>#REF!</v>
      </c>
      <c r="AA14" s="1"/>
      <c r="AB14" s="1"/>
      <c r="AC14" s="75" t="e">
        <f>QUARTILE(Y14:Y17,3)-QUARTILE(Y14:Y17,1)</f>
        <v>#REF!</v>
      </c>
      <c r="AD14" s="1"/>
      <c r="AE14" s="1"/>
      <c r="AF14" s="1"/>
    </row>
    <row r="15" spans="1:32" x14ac:dyDescent="0.2">
      <c r="A15" s="1"/>
      <c r="B15" s="2">
        <f t="shared" si="0"/>
        <v>10</v>
      </c>
      <c r="C15" s="73" t="e">
        <f>#REF!</f>
        <v>#REF!</v>
      </c>
      <c r="D15" s="75" t="e">
        <f>IF(OR(C15&lt;QUARTILE($C$14:$C$17,1)-1.5*$G$14,C15&gt;QUARTILE($C$14:$C$17,3)+1.5*$G$14),1,0)</f>
        <v>#REF!</v>
      </c>
      <c r="E15" s="1"/>
      <c r="F15" s="1"/>
      <c r="G15" s="1"/>
      <c r="H15" s="1"/>
      <c r="I15" s="1"/>
      <c r="J15" s="1"/>
      <c r="L15" s="1"/>
      <c r="M15" s="2">
        <f t="shared" si="1"/>
        <v>10</v>
      </c>
      <c r="N15" s="73" t="e">
        <f>#REF!</f>
        <v>#REF!</v>
      </c>
      <c r="O15" s="75" t="e">
        <f>IF(OR(N15&lt;QUARTILE($N$14:$N$17,1)-1.5*$R$14,N15&gt;QUARTILE($N$14:$N$17,3)+1.5*$R$14),1,0)</f>
        <v>#REF!</v>
      </c>
      <c r="P15" s="1"/>
      <c r="Q15" s="1"/>
      <c r="R15" s="1"/>
      <c r="S15" s="1"/>
      <c r="T15" s="1"/>
      <c r="U15" s="1"/>
      <c r="W15" s="1"/>
      <c r="X15" s="2">
        <f t="shared" si="2"/>
        <v>10</v>
      </c>
      <c r="Y15" s="73" t="e">
        <f>#REF!</f>
        <v>#REF!</v>
      </c>
      <c r="Z15" s="75" t="e">
        <f>IF(OR(Y15&lt;QUARTILE($Y$14:$Y$17,1)-1.5*$AC$14,Y15&gt;QUARTILE($Y$14:$Y$17,3)+1.5*$AC$14),1,0)</f>
        <v>#REF!</v>
      </c>
      <c r="AA15" s="1"/>
      <c r="AB15" s="1"/>
      <c r="AC15" s="1"/>
      <c r="AD15" s="1"/>
      <c r="AE15" s="1"/>
      <c r="AF15" s="1"/>
    </row>
    <row r="16" spans="1:32" x14ac:dyDescent="0.2">
      <c r="A16" s="1"/>
      <c r="B16" s="2">
        <f t="shared" si="0"/>
        <v>11</v>
      </c>
      <c r="C16" s="73" t="e">
        <f>#REF!</f>
        <v>#REF!</v>
      </c>
      <c r="D16" s="75" t="e">
        <f>IF(OR(C16&lt;QUARTILE($C$14:$C$17,1)-1.5*$G$14,C16&gt;QUARTILE($C$14:$C$17,3)+1.5*$G$14),1,0)</f>
        <v>#REF!</v>
      </c>
      <c r="E16" s="1" t="e">
        <f>#REF!</f>
        <v>#REF!</v>
      </c>
      <c r="F16" s="1" t="s">
        <v>145</v>
      </c>
      <c r="G16" s="1"/>
      <c r="H16" s="1"/>
      <c r="I16" s="1"/>
      <c r="J16" s="1"/>
      <c r="L16" s="1"/>
      <c r="M16" s="2">
        <f t="shared" si="1"/>
        <v>11</v>
      </c>
      <c r="N16" s="73" t="e">
        <f>#REF!</f>
        <v>#REF!</v>
      </c>
      <c r="O16" s="75" t="e">
        <f>IF(OR(N16&lt;QUARTILE($N$14:$N$17,1)-1.5*$R$14,N16&gt;QUARTILE($N$14:$N$17,3)+1.5*$R$14),1,0)</f>
        <v>#REF!</v>
      </c>
      <c r="P16" s="1"/>
      <c r="Q16" s="1"/>
      <c r="R16" s="1"/>
      <c r="S16" s="1"/>
      <c r="T16" s="1"/>
      <c r="U16" s="1"/>
      <c r="W16" s="1"/>
      <c r="X16" s="2">
        <f t="shared" si="2"/>
        <v>11</v>
      </c>
      <c r="Y16" s="73" t="e">
        <f>#REF!</f>
        <v>#REF!</v>
      </c>
      <c r="Z16" s="75" t="e">
        <f>IF(OR(Y16&lt;QUARTILE($Y$14:$Y$17,1)-1.5*$AC$14,Y16&gt;QUARTILE($Y$14:$Y$17,3)+1.5*$AC$14),1,0)</f>
        <v>#REF!</v>
      </c>
      <c r="AA16" s="1"/>
      <c r="AB16" s="1"/>
      <c r="AC16" s="1"/>
      <c r="AD16" s="1"/>
      <c r="AE16" s="1"/>
      <c r="AF16" s="1"/>
    </row>
    <row r="17" spans="1:32" x14ac:dyDescent="0.2">
      <c r="A17" s="1"/>
      <c r="B17" s="2">
        <f t="shared" si="0"/>
        <v>12</v>
      </c>
      <c r="C17" s="73" t="e">
        <f>#REF!</f>
        <v>#REF!</v>
      </c>
      <c r="D17" s="75" t="e">
        <f>IF(OR(C17&lt;QUARTILE($C$14:$C$17,1)-1.5*$G$14,C17&gt;QUARTILE($C$14:$C$17,3)+1.5*$G$14),1,0)</f>
        <v>#REF!</v>
      </c>
      <c r="E17" s="1" t="e">
        <f>#REF!</f>
        <v>#REF!</v>
      </c>
      <c r="F17" s="1" t="s">
        <v>287</v>
      </c>
      <c r="G17" s="1"/>
      <c r="H17" s="1"/>
      <c r="I17" s="1"/>
      <c r="J17" s="1"/>
      <c r="L17" s="1"/>
      <c r="M17" s="2">
        <f t="shared" si="1"/>
        <v>12</v>
      </c>
      <c r="N17" s="73" t="e">
        <f>#REF!</f>
        <v>#REF!</v>
      </c>
      <c r="O17" s="75" t="e">
        <f>IF(OR(N17&lt;QUARTILE($N$14:$N$17,1)-1.5*$R$14,N17&gt;QUARTILE($N$14:$N$17,3)+1.5*$R$14),1,0)</f>
        <v>#REF!</v>
      </c>
      <c r="P17" s="1"/>
      <c r="Q17" s="1"/>
      <c r="R17" s="1"/>
      <c r="S17" s="1"/>
      <c r="T17" s="1"/>
      <c r="U17" s="1"/>
      <c r="W17" s="1"/>
      <c r="X17" s="2">
        <f t="shared" si="2"/>
        <v>12</v>
      </c>
      <c r="Y17" s="73" t="e">
        <f>#REF!</f>
        <v>#REF!</v>
      </c>
      <c r="Z17" s="75" t="e">
        <f>IF(OR(Y17&lt;QUARTILE($Y$14:$Y$17,1)-1.5*$AC$14,Y17&gt;QUARTILE($Y$14:$Y$17,3)+1.5*$AC$14),1,0)</f>
        <v>#REF!</v>
      </c>
      <c r="AA17" s="1"/>
      <c r="AB17" s="1"/>
      <c r="AC17" s="1"/>
      <c r="AD17" s="1"/>
      <c r="AE17" s="1"/>
      <c r="AF17" s="1"/>
    </row>
    <row r="18" spans="1:32" x14ac:dyDescent="0.2">
      <c r="A18" s="75" t="str">
        <f>Versuchsdurchführung!$A$5</f>
        <v>Fe-EDDHA</v>
      </c>
      <c r="B18" s="2">
        <f>B33+1</f>
        <v>29</v>
      </c>
      <c r="C18" s="78" t="e">
        <f>#REF!</f>
        <v>#REF!</v>
      </c>
      <c r="D18" s="75" t="e">
        <f>IF(OR(C18&lt;QUARTILE($C$18:$C$21,1)-1.5*$G$18,C18&gt;QUARTILE($C$18:$C$21,3)+1.5*$G$18),1,0)</f>
        <v>#REF!</v>
      </c>
      <c r="E18" s="75"/>
      <c r="F18" s="75"/>
      <c r="G18" s="75" t="e">
        <f>QUARTILE(C18:C21,3)-QUARTILE(C18:C21,1)</f>
        <v>#REF!</v>
      </c>
      <c r="H18" s="1"/>
      <c r="I18" s="1"/>
      <c r="J18" s="1"/>
      <c r="L18" s="75" t="str">
        <f>Versuchsdurchführung!$A$5</f>
        <v>Fe-EDDHA</v>
      </c>
      <c r="M18" s="2">
        <f>M33+1</f>
        <v>29</v>
      </c>
      <c r="N18" s="73" t="e">
        <f>#REF!</f>
        <v>#REF!</v>
      </c>
      <c r="O18" s="75" t="e">
        <f>IF(OR(N18&lt;QUARTILE($N$18:$N$21,1)-1.5*$R$18,N18&gt;QUARTILE($N$18:$N$21,3)+1.5*$R$18),1,0)</f>
        <v>#REF!</v>
      </c>
      <c r="P18" s="1"/>
      <c r="Q18" s="1"/>
      <c r="R18" s="75" t="e">
        <f>QUARTILE(N18:N21,3)-QUARTILE(N18:N21,1)</f>
        <v>#REF!</v>
      </c>
      <c r="S18" s="1"/>
      <c r="T18" s="1"/>
      <c r="U18" s="1"/>
      <c r="W18" s="75" t="str">
        <f>Versuchsdurchführung!$A$5</f>
        <v>Fe-EDDHA</v>
      </c>
      <c r="X18" s="2">
        <f>X33+1</f>
        <v>29</v>
      </c>
      <c r="Y18" s="73" t="e">
        <f>#REF!</f>
        <v>#REF!</v>
      </c>
      <c r="Z18" s="75" t="e">
        <f>IF(OR(Y18&lt;QUARTILE($Y$18:$Y$21,1)-1.5*$AC$18,Y18&gt;QUARTILE($Y$18:$Y$21,3)+1.5*$AC$18),1,0)</f>
        <v>#REF!</v>
      </c>
      <c r="AA18" s="1"/>
      <c r="AB18" s="1"/>
      <c r="AC18" s="75" t="e">
        <f>QUARTILE(Y18:Y21,3)-QUARTILE(Y18:Y21,1)</f>
        <v>#REF!</v>
      </c>
      <c r="AD18" s="1"/>
      <c r="AE18" s="1"/>
      <c r="AF18" s="1"/>
    </row>
    <row r="19" spans="1:32" x14ac:dyDescent="0.2">
      <c r="A19" s="25" t="s">
        <v>265</v>
      </c>
      <c r="B19" s="2">
        <f>B18+1</f>
        <v>30</v>
      </c>
      <c r="C19" s="73" t="e">
        <f>#REF!</f>
        <v>#REF!</v>
      </c>
      <c r="D19" s="75" t="e">
        <f>IF(OR(C19&lt;QUARTILE($C$18:$C$21,1)-1.5*$G$18,C19&gt;QUARTILE($C$18:$C$21,3)+1.5*$G$18),1,0)</f>
        <v>#REF!</v>
      </c>
      <c r="E19" s="1"/>
      <c r="F19" s="1"/>
      <c r="G19" s="1"/>
      <c r="H19" s="1"/>
      <c r="I19" s="1"/>
      <c r="J19" s="1"/>
      <c r="L19" s="25" t="s">
        <v>265</v>
      </c>
      <c r="M19" s="2">
        <f>M18+1</f>
        <v>30</v>
      </c>
      <c r="N19" s="73" t="e">
        <f>#REF!</f>
        <v>#REF!</v>
      </c>
      <c r="O19" s="75" t="e">
        <f>IF(OR(N19&lt;QUARTILE($N$18:$N$21,1)-1.5*$R$18,N19&gt;QUARTILE($N$18:$N$21,3)+1.5*$R$18),1,0)</f>
        <v>#REF!</v>
      </c>
      <c r="P19" s="1"/>
      <c r="Q19" s="1"/>
      <c r="R19" s="1"/>
      <c r="S19" s="1"/>
      <c r="T19" s="1"/>
      <c r="U19" s="1"/>
      <c r="W19" s="25" t="s">
        <v>265</v>
      </c>
      <c r="X19" s="2">
        <f>X18+1</f>
        <v>30</v>
      </c>
      <c r="Y19" s="73" t="e">
        <f>#REF!</f>
        <v>#REF!</v>
      </c>
      <c r="Z19" s="75" t="e">
        <f>IF(OR(Y19&lt;QUARTILE($Y$18:$Y$21,1)-1.5*$AC$18,Y19&gt;QUARTILE($Y$18:$Y$21,3)+1.5*$AC$18),1,0)</f>
        <v>#REF!</v>
      </c>
      <c r="AA19" s="1"/>
      <c r="AB19" s="1"/>
      <c r="AC19" s="1"/>
      <c r="AD19" s="1"/>
      <c r="AE19" s="1"/>
      <c r="AF19" s="1"/>
    </row>
    <row r="20" spans="1:32" x14ac:dyDescent="0.2">
      <c r="A20" s="1"/>
      <c r="B20" s="2">
        <f>B19+1</f>
        <v>31</v>
      </c>
      <c r="C20" s="79" t="e">
        <f>#REF!</f>
        <v>#REF!</v>
      </c>
      <c r="D20" s="1" t="e">
        <f>IF(OR(C20&lt;QUARTILE($C$18:$C$21,1)-1.5*$G$18,C20&gt;QUARTILE($C$18:$C$21,3)+1.5*$G$18),1,0)</f>
        <v>#REF!</v>
      </c>
      <c r="E20" s="1" t="e">
        <f>#REF!</f>
        <v>#REF!</v>
      </c>
      <c r="F20" s="1" t="s">
        <v>145</v>
      </c>
      <c r="G20" s="1"/>
      <c r="H20" s="1"/>
      <c r="I20" s="1"/>
      <c r="J20" s="1"/>
      <c r="L20" s="1"/>
      <c r="M20" s="2">
        <f>M19+1</f>
        <v>31</v>
      </c>
      <c r="N20" s="73" t="e">
        <f>#REF!</f>
        <v>#REF!</v>
      </c>
      <c r="O20" s="75" t="e">
        <f>IF(OR(N20&lt;QUARTILE($N$18:$N$21,1)-1.5*$R$18,N20&gt;QUARTILE($N$18:$N$21,3)+1.5*$R$18),1,0)</f>
        <v>#REF!</v>
      </c>
      <c r="P20" s="1"/>
      <c r="Q20" s="1"/>
      <c r="R20" s="1"/>
      <c r="S20" s="1"/>
      <c r="T20" s="1"/>
      <c r="U20" s="1"/>
      <c r="W20" s="1"/>
      <c r="X20" s="2">
        <f>X19+1</f>
        <v>31</v>
      </c>
      <c r="Y20" s="73" t="e">
        <f>#REF!</f>
        <v>#REF!</v>
      </c>
      <c r="Z20" s="75" t="e">
        <f>IF(OR(Y20&lt;QUARTILE($Y$18:$Y$21,1)-1.5*$AC$18,Y20&gt;QUARTILE($Y$18:$Y$21,3)+1.5*$AC$18),1,0)</f>
        <v>#REF!</v>
      </c>
      <c r="AA20" s="1"/>
      <c r="AB20" s="1"/>
      <c r="AC20" s="1"/>
      <c r="AD20" s="1"/>
      <c r="AE20" s="1"/>
      <c r="AF20" s="1"/>
    </row>
    <row r="21" spans="1:32" x14ac:dyDescent="0.2">
      <c r="A21" s="1"/>
      <c r="B21" s="2">
        <f>B20+1</f>
        <v>32</v>
      </c>
      <c r="C21" s="73" t="e">
        <f>#REF!</f>
        <v>#REF!</v>
      </c>
      <c r="D21" s="75" t="e">
        <f>IF(OR(C21&lt;QUARTILE($C$18:$C$21,1)-1.5*$G$18,C21&gt;QUARTILE($C$18:$C$21,3)+1.5*$G$18),1,0)</f>
        <v>#REF!</v>
      </c>
      <c r="E21" s="1" t="e">
        <f>#REF!</f>
        <v>#REF!</v>
      </c>
      <c r="F21" s="1" t="s">
        <v>287</v>
      </c>
      <c r="G21" s="1"/>
      <c r="H21" s="1"/>
      <c r="I21" s="1"/>
      <c r="J21" s="1"/>
      <c r="L21" s="1"/>
      <c r="M21" s="2">
        <f>M20+1</f>
        <v>32</v>
      </c>
      <c r="N21" s="73" t="e">
        <f>#REF!</f>
        <v>#REF!</v>
      </c>
      <c r="O21" s="75" t="e">
        <f>IF(OR(N21&lt;QUARTILE($N$18:$N$21,1)-1.5*$R$18,N21&gt;QUARTILE($N$18:$N$21,3)+1.5*$R$18),1,0)</f>
        <v>#REF!</v>
      </c>
      <c r="P21" s="1"/>
      <c r="Q21" s="1"/>
      <c r="R21" s="1"/>
      <c r="S21" s="1"/>
      <c r="T21" s="1"/>
      <c r="U21" s="1"/>
      <c r="W21" s="1"/>
      <c r="X21" s="2">
        <f>X20+1</f>
        <v>32</v>
      </c>
      <c r="Y21" s="73" t="e">
        <f>#REF!</f>
        <v>#REF!</v>
      </c>
      <c r="Z21" s="75" t="e">
        <f>IF(OR(Y21&lt;QUARTILE($Y$18:$Y$21,1)-1.5*$AC$18,Y21&gt;QUARTILE($Y$18:$Y$21,3)+1.5*$AC$18),1,0)</f>
        <v>#REF!</v>
      </c>
      <c r="AA21" s="1"/>
      <c r="AB21" s="1"/>
      <c r="AC21" s="1"/>
      <c r="AD21" s="1"/>
      <c r="AE21" s="1"/>
      <c r="AF21" s="1"/>
    </row>
    <row r="22" spans="1:32" x14ac:dyDescent="0.2">
      <c r="A22" s="75" t="str">
        <f>Versuchsdurchführung!$A$7</f>
        <v>FeSO4  7 H2O</v>
      </c>
      <c r="B22" s="2">
        <f>B5+1</f>
        <v>17</v>
      </c>
      <c r="C22" s="78" t="e">
        <f>#REF!</f>
        <v>#REF!</v>
      </c>
      <c r="D22" s="75" t="e">
        <f>IF(OR(C22&lt;QUARTILE($C$22:$C$25,1)-1.5*$G$22,C22&gt;QUARTILE($C$22:$C$25,3)+1.5*$G$22),1,0)</f>
        <v>#REF!</v>
      </c>
      <c r="E22" s="75"/>
      <c r="F22" s="75"/>
      <c r="G22" s="76" t="e">
        <f>QUARTILE(C22:C25,3)-QUARTILE(C22:C25,1)</f>
        <v>#REF!</v>
      </c>
      <c r="H22" s="1"/>
      <c r="I22" s="1"/>
      <c r="J22" s="1"/>
      <c r="L22" s="75" t="str">
        <f>Versuchsdurchführung!$A$7</f>
        <v>FeSO4  7 H2O</v>
      </c>
      <c r="M22" s="2">
        <f>M5+1</f>
        <v>17</v>
      </c>
      <c r="N22" s="73" t="e">
        <f>#REF!</f>
        <v>#REF!</v>
      </c>
      <c r="O22" s="75" t="e">
        <f>IF(OR(N22&lt;QUARTILE($N$22:$N$25,1)-1.5*$R$22,N22&gt;QUARTILE($N$22:$N$25,3)+1.5*$R$22),1,0)</f>
        <v>#REF!</v>
      </c>
      <c r="P22" s="1"/>
      <c r="Q22" s="1"/>
      <c r="R22" s="80" t="e">
        <f>QUARTILE(N22:N25,3)-QUARTILE(N22:N25,1)</f>
        <v>#REF!</v>
      </c>
      <c r="S22" s="1"/>
      <c r="T22" s="1"/>
      <c r="U22" s="1"/>
      <c r="W22" s="75" t="str">
        <f>Versuchsdurchführung!$A$7</f>
        <v>FeSO4  7 H2O</v>
      </c>
      <c r="X22" s="2">
        <f>X5+1</f>
        <v>17</v>
      </c>
      <c r="Y22" s="73" t="e">
        <f>#REF!</f>
        <v>#REF!</v>
      </c>
      <c r="Z22" s="75" t="e">
        <f>IF(OR(Y22&lt;QUARTILE($Y$22:$Y$25,1)-1.5*$AC$22,Y22&gt;QUARTILE($Y$22:$Y$25,3)+1.5*$AC$22),1,0)</f>
        <v>#REF!</v>
      </c>
      <c r="AA22" s="1"/>
      <c r="AB22" s="1"/>
      <c r="AC22" s="82" t="e">
        <f>QUARTILE(Y22:Y25,3)-QUARTILE(Y22:Y25,1)</f>
        <v>#REF!</v>
      </c>
      <c r="AD22" s="1"/>
      <c r="AE22" s="1"/>
      <c r="AF22" s="1"/>
    </row>
    <row r="23" spans="1:32" x14ac:dyDescent="0.2">
      <c r="A23" s="1"/>
      <c r="B23" s="2">
        <f t="shared" ref="B23:B33" si="3">B22+1</f>
        <v>18</v>
      </c>
      <c r="C23" s="73" t="e">
        <f>#REF!</f>
        <v>#REF!</v>
      </c>
      <c r="D23" s="75" t="e">
        <f>IF(OR(C23&lt;QUARTILE($C$22:$C$25,1)-1.5*$G$22,C23&gt;QUARTILE($C$22:$C$25,3)+1.5*$G$22),1,0)</f>
        <v>#REF!</v>
      </c>
      <c r="E23" s="1"/>
      <c r="F23" s="1"/>
      <c r="G23" s="1"/>
      <c r="H23" s="1"/>
      <c r="I23" s="1"/>
      <c r="J23" s="1"/>
      <c r="L23" s="1"/>
      <c r="M23" s="2">
        <f t="shared" ref="M23:M33" si="4">M22+1</f>
        <v>18</v>
      </c>
      <c r="N23" s="73" t="e">
        <f>#REF!</f>
        <v>#REF!</v>
      </c>
      <c r="O23" s="75" t="e">
        <f>IF(OR(N23&lt;QUARTILE($N$22:$N$25,1)-1.5*$R$22,N23&gt;QUARTILE($N$22:$N$25,3)+1.5*$R$22),1,0)</f>
        <v>#REF!</v>
      </c>
      <c r="P23" s="1"/>
      <c r="Q23" s="1"/>
      <c r="R23" s="1"/>
      <c r="S23" s="1"/>
      <c r="T23" s="1"/>
      <c r="U23" s="1"/>
      <c r="W23" s="1"/>
      <c r="X23" s="2">
        <f t="shared" ref="X23:X33" si="5">X22+1</f>
        <v>18</v>
      </c>
      <c r="Y23" s="73" t="e">
        <f>#REF!</f>
        <v>#REF!</v>
      </c>
      <c r="Z23" s="75" t="e">
        <f>IF(OR(Y23&lt;QUARTILE($Y$22:$Y$25,1)-1.5*$AC$22,Y23&gt;QUARTILE($Y$22:$Y$25,3)+1.5*$AC$22),1,0)</f>
        <v>#REF!</v>
      </c>
      <c r="AA23" s="1"/>
      <c r="AB23" s="1"/>
      <c r="AC23" s="1"/>
      <c r="AD23" s="1"/>
      <c r="AE23" s="1"/>
      <c r="AF23" s="1"/>
    </row>
    <row r="24" spans="1:32" x14ac:dyDescent="0.2">
      <c r="A24" s="1"/>
      <c r="B24" s="2">
        <f t="shared" si="3"/>
        <v>19</v>
      </c>
      <c r="C24" s="84" t="e">
        <f>#REF!</f>
        <v>#REF!</v>
      </c>
      <c r="D24" s="75" t="e">
        <f>IF(OR(C24&lt;QUARTILE($C$22:$C$25,1)-1.5*$G$22,C24&gt;QUARTILE($C$22:$C$25,3)+1.5*$G$22),1,0)</f>
        <v>#REF!</v>
      </c>
      <c r="E24" s="1">
        <v>76.041575998047335</v>
      </c>
      <c r="F24" s="1" t="s">
        <v>145</v>
      </c>
      <c r="G24" s="1"/>
      <c r="H24" s="1" t="s">
        <v>294</v>
      </c>
      <c r="I24" s="1"/>
      <c r="J24" s="1"/>
      <c r="L24" s="1"/>
      <c r="M24" s="2">
        <f t="shared" si="4"/>
        <v>19</v>
      </c>
      <c r="N24" s="73" t="e">
        <f>#REF!</f>
        <v>#REF!</v>
      </c>
      <c r="O24" s="75" t="e">
        <f>IF(OR(N24&lt;QUARTILE($N$22:$N$25,1)-1.5*$R$22,N24&gt;QUARTILE($N$22:$N$25,3)+1.5*$R$22),1,0)</f>
        <v>#REF!</v>
      </c>
      <c r="P24" s="1"/>
      <c r="Q24" s="1"/>
      <c r="R24" s="1"/>
      <c r="S24" s="1"/>
      <c r="T24" s="1"/>
      <c r="U24" s="1"/>
      <c r="W24" s="1"/>
      <c r="X24" s="2">
        <f t="shared" si="5"/>
        <v>19</v>
      </c>
      <c r="Y24" s="83" t="e">
        <f>#REF!</f>
        <v>#REF!</v>
      </c>
      <c r="Z24" s="75" t="e">
        <f>IF(OR(Y24&lt;QUARTILE($Y$22:$Y$25,1)-1.5*$AC$22,Y24&gt;QUARTILE($Y$22:$Y$25,3)+1.5*$AC$22),1,0)</f>
        <v>#REF!</v>
      </c>
      <c r="AA24" s="1"/>
      <c r="AB24" s="1"/>
      <c r="AC24" s="1"/>
      <c r="AD24" s="1"/>
      <c r="AE24" s="1"/>
      <c r="AF24" s="1"/>
    </row>
    <row r="25" spans="1:32" x14ac:dyDescent="0.2">
      <c r="A25" s="1"/>
      <c r="B25" s="2">
        <f t="shared" si="3"/>
        <v>20</v>
      </c>
      <c r="C25" s="84" t="e">
        <f>#REF!</f>
        <v>#REF!</v>
      </c>
      <c r="D25" s="75" t="e">
        <f>IF(OR(C25&lt;QUARTILE($C$22:$C$25,1)-1.5*$G$22,C25&gt;QUARTILE($C$22:$C$25,3)+1.5*$G$22),1,0)</f>
        <v>#REF!</v>
      </c>
      <c r="E25" s="1" t="e">
        <f>#REF!</f>
        <v>#REF!</v>
      </c>
      <c r="F25" s="1" t="s">
        <v>287</v>
      </c>
      <c r="G25" s="1"/>
      <c r="H25" s="1" t="s">
        <v>294</v>
      </c>
      <c r="I25" s="1"/>
      <c r="J25" s="1"/>
      <c r="L25" s="1"/>
      <c r="M25" s="2">
        <f t="shared" si="4"/>
        <v>20</v>
      </c>
      <c r="N25" s="73" t="e">
        <f>#REF!</f>
        <v>#REF!</v>
      </c>
      <c r="O25" s="75" t="e">
        <f>IF(OR(N25&lt;QUARTILE($N$22:$N$25,1)-1.5*$R$22,N25&gt;QUARTILE($N$22:$N$25,3)+1.5*$R$22),1,0)</f>
        <v>#REF!</v>
      </c>
      <c r="P25" s="1"/>
      <c r="Q25" s="1"/>
      <c r="R25" s="1"/>
      <c r="S25" s="1"/>
      <c r="T25" s="1"/>
      <c r="U25" s="1"/>
      <c r="W25" s="1"/>
      <c r="X25" s="2">
        <f t="shared" si="5"/>
        <v>20</v>
      </c>
      <c r="Y25" s="83" t="e">
        <f>#REF!</f>
        <v>#REF!</v>
      </c>
      <c r="Z25" s="75" t="e">
        <f>IF(OR(Y25&lt;QUARTILE($Y$22:$Y$25,1)-1.5*$AC$22,Y25&gt;QUARTILE($Y$22:$Y$25,3)+1.5*$AC$22),1,0)</f>
        <v>#REF!</v>
      </c>
      <c r="AA25" s="1"/>
      <c r="AB25" s="1"/>
      <c r="AC25" s="1"/>
      <c r="AD25" s="1"/>
      <c r="AE25" s="1"/>
      <c r="AF25" s="1"/>
    </row>
    <row r="26" spans="1:32" x14ac:dyDescent="0.2">
      <c r="A26" s="75" t="str">
        <f>Versuchsdurchführung!$A$7</f>
        <v>FeSO4  7 H2O</v>
      </c>
      <c r="B26" s="2">
        <f t="shared" si="3"/>
        <v>21</v>
      </c>
      <c r="C26" s="78" t="e">
        <f>#REF!</f>
        <v>#REF!</v>
      </c>
      <c r="D26" s="75" t="e">
        <f>IF(OR(C26&lt;QUARTILE($C$26:$C$29,1)-1.5*$G$26,C26&gt;QUARTILE($C$26:$C$29,3)+1.5*$G$26),1,0)</f>
        <v>#REF!</v>
      </c>
      <c r="E26" s="75"/>
      <c r="F26" s="75"/>
      <c r="G26" s="75" t="e">
        <f>QUARTILE(C26:C29,3)-QUARTILE(C26:C29,1)</f>
        <v>#REF!</v>
      </c>
      <c r="H26" s="1"/>
      <c r="I26" s="1"/>
      <c r="J26" s="1"/>
      <c r="L26" s="75" t="str">
        <f>Versuchsdurchführung!$A$7</f>
        <v>FeSO4  7 H2O</v>
      </c>
      <c r="M26" s="2">
        <f t="shared" si="4"/>
        <v>21</v>
      </c>
      <c r="N26" s="83" t="e">
        <f>#REF!</f>
        <v>#REF!</v>
      </c>
      <c r="O26" s="75" t="e">
        <f>IF(OR(N26&lt;QUARTILE($N$26:$N$29,1)-1.5*$R$26,N26&gt;QUARTILE($N$26:$N$29,3)+1.5*$R$26),1,0)</f>
        <v>#REF!</v>
      </c>
      <c r="P26" s="1"/>
      <c r="Q26" s="1"/>
      <c r="R26" s="76" t="e">
        <f>QUARTILE(N26:N29,3)-QUARTILE(N26:N29,1)</f>
        <v>#REF!</v>
      </c>
      <c r="S26" s="1"/>
      <c r="T26" s="1"/>
      <c r="U26" s="1"/>
      <c r="W26" s="75" t="str">
        <f>Versuchsdurchführung!$A$7</f>
        <v>FeSO4  7 H2O</v>
      </c>
      <c r="X26" s="2">
        <f t="shared" si="5"/>
        <v>21</v>
      </c>
      <c r="Y26" s="83" t="e">
        <f>#REF!</f>
        <v>#REF!</v>
      </c>
      <c r="Z26" s="75" t="e">
        <f>IF(OR(Y26&lt;QUARTILE($Y$26:$Y$29,1)-1.5*$AC$26,Y26&gt;QUARTILE($Y$26:$Y$29,3)+1.5*$AC$26),1,0)</f>
        <v>#REF!</v>
      </c>
      <c r="AA26" s="1"/>
      <c r="AB26" s="1"/>
      <c r="AC26" s="82" t="e">
        <f>QUARTILE(Y26:Y29,3)-QUARTILE(Y26:Y29,1)</f>
        <v>#REF!</v>
      </c>
      <c r="AD26" s="1"/>
      <c r="AE26" s="1"/>
      <c r="AF26" s="1"/>
    </row>
    <row r="27" spans="1:32" x14ac:dyDescent="0.2">
      <c r="A27" s="1"/>
      <c r="B27" s="2">
        <f t="shared" si="3"/>
        <v>22</v>
      </c>
      <c r="C27" s="73" t="e">
        <f>#REF!</f>
        <v>#REF!</v>
      </c>
      <c r="D27" s="75" t="e">
        <f>IF(OR(C27&lt;QUARTILE($C$26:$C$29,1)-1.5*$G$26,C27&gt;QUARTILE($C$26:$C$29,3)+1.5*$G$26),1,0)</f>
        <v>#REF!</v>
      </c>
      <c r="E27" s="1"/>
      <c r="F27" s="1"/>
      <c r="G27" s="1"/>
      <c r="H27" s="1"/>
      <c r="I27" s="1"/>
      <c r="J27" s="1"/>
      <c r="L27" s="1"/>
      <c r="M27" s="2">
        <f t="shared" si="4"/>
        <v>22</v>
      </c>
      <c r="N27" s="73" t="e">
        <f>#REF!</f>
        <v>#REF!</v>
      </c>
      <c r="O27" s="75" t="e">
        <f>IF(OR(N27&lt;QUARTILE($N$26:$N$29,1)-1.5*$R$26,N27&gt;QUARTILE($N$26:$N$29,3)+1.5*$R$26),1,0)</f>
        <v>#REF!</v>
      </c>
      <c r="P27" s="1"/>
      <c r="Q27" s="1"/>
      <c r="R27" s="1"/>
      <c r="S27" s="1"/>
      <c r="T27" s="1"/>
      <c r="U27" s="1"/>
      <c r="W27" s="1"/>
      <c r="X27" s="2">
        <f t="shared" si="5"/>
        <v>22</v>
      </c>
      <c r="Y27" s="73" t="e">
        <f>#REF!</f>
        <v>#REF!</v>
      </c>
      <c r="Z27" s="75" t="e">
        <f>IF(OR(Y27&lt;QUARTILE($Y$26:$Y$29,1)-1.5*$AC$26,Y27&gt;QUARTILE($Y$26:$Y$29,3)+1.5*$AC$26),1,0)</f>
        <v>#REF!</v>
      </c>
      <c r="AA27" s="1"/>
      <c r="AB27" s="1"/>
      <c r="AC27" s="1"/>
      <c r="AD27" s="1"/>
      <c r="AE27" s="1"/>
      <c r="AF27" s="1"/>
    </row>
    <row r="28" spans="1:32" x14ac:dyDescent="0.2">
      <c r="A28" s="1"/>
      <c r="B28" s="2">
        <f t="shared" si="3"/>
        <v>23</v>
      </c>
      <c r="C28" s="73" t="e">
        <f>#REF!</f>
        <v>#REF!</v>
      </c>
      <c r="D28" s="75" t="e">
        <f>IF(OR(C28&lt;QUARTILE($C$26:$C$29,1)-1.5*$G$26,C28&gt;QUARTILE($C$26:$C$29,3)+1.5*$G$26),1,0)</f>
        <v>#REF!</v>
      </c>
      <c r="E28" s="1" t="e">
        <f>#REF!</f>
        <v>#REF!</v>
      </c>
      <c r="F28" s="1" t="s">
        <v>145</v>
      </c>
      <c r="G28" s="1"/>
      <c r="H28" s="1"/>
      <c r="I28" s="1"/>
      <c r="J28" s="1"/>
      <c r="L28" s="1"/>
      <c r="M28" s="2">
        <f t="shared" si="4"/>
        <v>23</v>
      </c>
      <c r="N28" s="73" t="e">
        <f>#REF!</f>
        <v>#REF!</v>
      </c>
      <c r="O28" s="75" t="e">
        <f>IF(OR(N28&lt;QUARTILE($N$26:$N$29,1)-1.5*$R$26,N28&gt;QUARTILE($N$26:$N$29,3)+1.5*$R$26),1,0)</f>
        <v>#REF!</v>
      </c>
      <c r="P28" s="1"/>
      <c r="Q28" s="1"/>
      <c r="R28" s="1"/>
      <c r="S28" s="1"/>
      <c r="T28" s="1"/>
      <c r="U28" s="1"/>
      <c r="W28" s="1"/>
      <c r="X28" s="2">
        <f t="shared" si="5"/>
        <v>23</v>
      </c>
      <c r="Y28" s="83" t="e">
        <f>#REF!</f>
        <v>#REF!</v>
      </c>
      <c r="Z28" s="75" t="e">
        <f>IF(OR(Y28&lt;QUARTILE($Y$26:$Y$29,1)-1.5*$AC$26,Y28&gt;QUARTILE($Y$26:$Y$29,3)+1.5*$AC$26),1,0)</f>
        <v>#REF!</v>
      </c>
      <c r="AA28" s="1"/>
      <c r="AB28" s="1"/>
      <c r="AC28" s="1"/>
      <c r="AD28" s="1"/>
      <c r="AE28" s="1"/>
      <c r="AF28" s="1"/>
    </row>
    <row r="29" spans="1:32" x14ac:dyDescent="0.2">
      <c r="A29" s="1"/>
      <c r="B29" s="2">
        <f t="shared" si="3"/>
        <v>24</v>
      </c>
      <c r="C29" s="73" t="e">
        <f>#REF!</f>
        <v>#REF!</v>
      </c>
      <c r="D29" s="75" t="e">
        <f>IF(OR(C29&lt;QUARTILE($C$26:$C$29,1)-1.5*$G$26,C29&gt;QUARTILE($C$26:$C$29,3)+1.5*$G$26),1,0)</f>
        <v>#REF!</v>
      </c>
      <c r="E29" s="1" t="e">
        <f>#REF!</f>
        <v>#REF!</v>
      </c>
      <c r="F29" s="1" t="s">
        <v>287</v>
      </c>
      <c r="G29" s="1"/>
      <c r="H29" s="1"/>
      <c r="I29" s="1"/>
      <c r="J29" s="1"/>
      <c r="L29" s="1"/>
      <c r="M29" s="2">
        <f t="shared" si="4"/>
        <v>24</v>
      </c>
      <c r="N29" s="83" t="e">
        <f>#REF!</f>
        <v>#REF!</v>
      </c>
      <c r="O29" s="75" t="e">
        <f>IF(OR(N29&lt;QUARTILE($N$26:$N$29,1)-1.5*$R$26,N29&gt;QUARTILE($N$26:$N$29,3)+1.5*$R$26),1,0)</f>
        <v>#REF!</v>
      </c>
      <c r="P29" s="1"/>
      <c r="Q29" s="1"/>
      <c r="R29" s="1"/>
      <c r="S29" s="1"/>
      <c r="T29" s="1"/>
      <c r="U29" s="1"/>
      <c r="W29" s="1"/>
      <c r="X29" s="2">
        <f t="shared" si="5"/>
        <v>24</v>
      </c>
      <c r="Y29" s="73" t="e">
        <f>#REF!</f>
        <v>#REF!</v>
      </c>
      <c r="Z29" s="75" t="e">
        <f>IF(OR(Y29&lt;QUARTILE($Y$26:$Y$29,1)-1.5*$AC$26,Y29&gt;QUARTILE($Y$26:$Y$29,3)+1.5*$AC$26),1,0)</f>
        <v>#REF!</v>
      </c>
      <c r="AA29" s="1"/>
      <c r="AB29" s="1"/>
      <c r="AC29" s="1"/>
      <c r="AD29" s="1"/>
      <c r="AE29" s="1"/>
      <c r="AF29" s="1"/>
    </row>
    <row r="30" spans="1:32" x14ac:dyDescent="0.2">
      <c r="A30" s="75" t="str">
        <f>Versuchsdurchführung!$A$7</f>
        <v>FeSO4  7 H2O</v>
      </c>
      <c r="B30" s="2">
        <f t="shared" si="3"/>
        <v>25</v>
      </c>
      <c r="C30" s="78" t="e">
        <f>#REF!</f>
        <v>#REF!</v>
      </c>
      <c r="D30" s="75" t="e">
        <f>IF(OR(C30&lt;QUARTILE($C$30:$C$33,1)-1.5*$G$30,C30&gt;QUARTILE($C$30:$C$33,3)+1.5*$G$30),1,0)</f>
        <v>#REF!</v>
      </c>
      <c r="E30" s="75"/>
      <c r="F30" s="75"/>
      <c r="G30" s="75" t="e">
        <f>QUARTILE(C30:C33,3)-QUARTILE(C30:C33,1)</f>
        <v>#REF!</v>
      </c>
      <c r="H30" s="1"/>
      <c r="I30" s="1"/>
      <c r="J30" s="1"/>
      <c r="L30" s="75" t="str">
        <f>Versuchsdurchführung!$A$7</f>
        <v>FeSO4  7 H2O</v>
      </c>
      <c r="M30" s="2">
        <f t="shared" si="4"/>
        <v>25</v>
      </c>
      <c r="N30" s="73" t="e">
        <f>#REF!</f>
        <v>#REF!</v>
      </c>
      <c r="O30" s="75" t="e">
        <f>IF(OR(N30&lt;QUARTILE($N$30:$N$33,1)-1.5*$R$30,N30&gt;QUARTILE($N$30:$N$33,3)+1.5*$R$30),1,0)</f>
        <v>#REF!</v>
      </c>
      <c r="P30" s="1"/>
      <c r="Q30" s="1"/>
      <c r="R30" s="75" t="e">
        <f>QUARTILE(N30:N33,3)-QUARTILE(N30:N33,1)</f>
        <v>#REF!</v>
      </c>
      <c r="S30" s="1"/>
      <c r="T30" s="1"/>
      <c r="U30" s="1"/>
      <c r="W30" s="75" t="str">
        <f>Versuchsdurchführung!$A$7</f>
        <v>FeSO4  7 H2O</v>
      </c>
      <c r="X30" s="2">
        <f t="shared" si="5"/>
        <v>25</v>
      </c>
      <c r="Y30" s="73" t="e">
        <f>#REF!</f>
        <v>#REF!</v>
      </c>
      <c r="Z30" s="75" t="e">
        <f>IF(OR(Y30&lt;QUARTILE($Y$30:$Y$33,1)-1.5*$AC$30,Y30&gt;QUARTILE($Y$30:$Y$33,3)+1.5*$AC$30),1,0)</f>
        <v>#REF!</v>
      </c>
      <c r="AA30" s="1"/>
      <c r="AB30" s="1"/>
      <c r="AC30" s="82" t="e">
        <f>QUARTILE(Y30:Y33,3)-QUARTILE(Y30:Y33,1)</f>
        <v>#REF!</v>
      </c>
      <c r="AD30" s="1"/>
      <c r="AE30" s="1"/>
      <c r="AF30" s="1"/>
    </row>
    <row r="31" spans="1:32" x14ac:dyDescent="0.2">
      <c r="A31" s="1"/>
      <c r="B31" s="2">
        <f t="shared" si="3"/>
        <v>26</v>
      </c>
      <c r="C31" s="73" t="e">
        <f>#REF!</f>
        <v>#REF!</v>
      </c>
      <c r="D31" s="75" t="e">
        <f>IF(OR(C31&lt;QUARTILE($C$30:$C$33,1)-1.5*$G$30,C31&gt;QUARTILE($C$30:$C$33,3)+1.5*$G$30),1,0)</f>
        <v>#REF!</v>
      </c>
      <c r="E31" s="1"/>
      <c r="F31" s="1"/>
      <c r="G31" s="1"/>
      <c r="H31" s="1"/>
      <c r="I31" s="1"/>
      <c r="J31" s="1"/>
      <c r="L31" s="1"/>
      <c r="M31" s="2">
        <f t="shared" si="4"/>
        <v>26</v>
      </c>
      <c r="N31" s="81" t="e">
        <f>#REF!</f>
        <v>#REF!</v>
      </c>
      <c r="O31" s="1" t="e">
        <f>IF(OR(N31&lt;QUARTILE($N$30:$N$33,1)-1.5*$R$30,N31&gt;QUARTILE($N$30:$N$33,3)+1.5*$R$30),1,0)</f>
        <v>#REF!</v>
      </c>
      <c r="P31" s="1"/>
      <c r="Q31" s="1"/>
      <c r="R31" s="1"/>
      <c r="S31" s="1"/>
      <c r="T31" s="1"/>
      <c r="U31" s="1"/>
      <c r="W31" s="1"/>
      <c r="X31" s="2">
        <f t="shared" si="5"/>
        <v>26</v>
      </c>
      <c r="Y31" s="83" t="e">
        <f>#REF!</f>
        <v>#REF!</v>
      </c>
      <c r="Z31" s="75" t="e">
        <f>IF(OR(Y31&lt;QUARTILE($Y$30:$Y$33,1)-1.5*$AC$30,Y31&gt;QUARTILE($Y$30:$Y$33,3)+1.5*$AC$30),1,0)</f>
        <v>#REF!</v>
      </c>
      <c r="AA31" s="1"/>
      <c r="AB31" s="1"/>
      <c r="AC31" s="1"/>
      <c r="AD31" s="1"/>
      <c r="AE31" s="1"/>
      <c r="AF31" s="1"/>
    </row>
    <row r="32" spans="1:32" x14ac:dyDescent="0.2">
      <c r="A32" s="1"/>
      <c r="B32" s="2">
        <f t="shared" si="3"/>
        <v>27</v>
      </c>
      <c r="C32" s="73" t="e">
        <f>#REF!</f>
        <v>#REF!</v>
      </c>
      <c r="D32" s="75" t="e">
        <f>IF(OR(C32&lt;QUARTILE($C$30:$C$33,1)-1.5*$G$30,C32&gt;QUARTILE($C$30:$C$33,3)+1.5*$G$30),1,0)</f>
        <v>#REF!</v>
      </c>
      <c r="E32" s="1" t="e">
        <f>#REF!</f>
        <v>#REF!</v>
      </c>
      <c r="F32" s="1" t="s">
        <v>145</v>
      </c>
      <c r="G32" s="1"/>
      <c r="H32" s="1"/>
      <c r="I32" s="1"/>
      <c r="J32" s="1"/>
      <c r="L32" s="1"/>
      <c r="M32" s="2">
        <f t="shared" si="4"/>
        <v>27</v>
      </c>
      <c r="N32" s="73" t="e">
        <f>#REF!</f>
        <v>#REF!</v>
      </c>
      <c r="O32" s="75" t="e">
        <f>IF(OR(N32&lt;QUARTILE($N$30:$N$33,1)-1.5*$R$30,N32&gt;QUARTILE($N$30:$N$33,3)+1.5*$R$30),1,0)</f>
        <v>#REF!</v>
      </c>
      <c r="P32" s="1"/>
      <c r="Q32" s="1"/>
      <c r="R32" s="1"/>
      <c r="S32" s="1"/>
      <c r="T32" s="1"/>
      <c r="U32" s="1"/>
      <c r="W32" s="1"/>
      <c r="X32" s="2">
        <f t="shared" si="5"/>
        <v>27</v>
      </c>
      <c r="Y32" s="73" t="e">
        <f>#REF!</f>
        <v>#REF!</v>
      </c>
      <c r="Z32" s="75" t="e">
        <f>IF(OR(Y32&lt;QUARTILE($Y$30:$Y$33,1)-1.5*$AC$30,Y32&gt;QUARTILE($Y$30:$Y$33,3)+1.5*$AC$30),1,0)</f>
        <v>#REF!</v>
      </c>
      <c r="AA32" s="1"/>
      <c r="AB32" s="1"/>
      <c r="AC32" s="1"/>
      <c r="AD32" s="1"/>
      <c r="AE32" s="1"/>
      <c r="AF32" s="1"/>
    </row>
    <row r="33" spans="1:32" x14ac:dyDescent="0.2">
      <c r="A33" s="1"/>
      <c r="B33" s="2">
        <f t="shared" si="3"/>
        <v>28</v>
      </c>
      <c r="C33" s="73" t="e">
        <f>#REF!</f>
        <v>#REF!</v>
      </c>
      <c r="D33" s="75" t="e">
        <f>IF(OR(C33&lt;QUARTILE($C$30:$C$33,1)-1.5*$G$30,C33&gt;QUARTILE($C$30:$C$33,3)+1.5*$G$30),1,0)</f>
        <v>#REF!</v>
      </c>
      <c r="E33" s="1" t="e">
        <f>#REF!</f>
        <v>#REF!</v>
      </c>
      <c r="F33" s="1" t="s">
        <v>287</v>
      </c>
      <c r="G33" s="1"/>
      <c r="H33" s="1"/>
      <c r="I33" s="1"/>
      <c r="J33" s="1"/>
      <c r="L33" s="1"/>
      <c r="M33" s="2">
        <f t="shared" si="4"/>
        <v>28</v>
      </c>
      <c r="N33" s="73" t="e">
        <f>#REF!</f>
        <v>#REF!</v>
      </c>
      <c r="O33" s="75" t="e">
        <f>IF(OR(N33&lt;QUARTILE($N$30:$N$33,1)-1.5*$R$30,N33&gt;QUARTILE($N$30:$N$33,3)+1.5*$R$30),1,0)</f>
        <v>#REF!</v>
      </c>
      <c r="P33" s="1"/>
      <c r="Q33" s="1"/>
      <c r="R33" s="1"/>
      <c r="S33" s="1"/>
      <c r="T33" s="1"/>
      <c r="U33" s="1"/>
      <c r="W33" s="1"/>
      <c r="X33" s="2">
        <f t="shared" si="5"/>
        <v>28</v>
      </c>
      <c r="Y33" s="73" t="e">
        <f>#REF!</f>
        <v>#REF!</v>
      </c>
      <c r="Z33" s="75" t="e">
        <f>IF(OR(Y33&lt;QUARTILE($Y$30:$Y$33,1)-1.5*$AC$30,Y33&gt;QUARTILE($Y$30:$Y$33,3)+1.5*$AC$30),1,0)</f>
        <v>#REF!</v>
      </c>
      <c r="AA33" s="1"/>
      <c r="AB33" s="1"/>
      <c r="AC33" s="1"/>
      <c r="AD33" s="1"/>
      <c r="AE33" s="1"/>
      <c r="AF33" s="1"/>
    </row>
    <row r="34" spans="1:32" x14ac:dyDescent="0.2">
      <c r="A34" s="75" t="str">
        <f>Versuchsdurchführung!$A$7</f>
        <v>FeSO4  7 H2O</v>
      </c>
      <c r="B34" s="2">
        <f>B21+1</f>
        <v>33</v>
      </c>
      <c r="C34" s="83" t="e">
        <f>#REF!</f>
        <v>#REF!</v>
      </c>
      <c r="D34" s="75" t="e">
        <f>IF(OR(C34&lt;QUARTILE($C$34:$C$37,1)-1.5*$G$34,C34&gt;QUARTILE($C$34:$C$37,3)+1.5*$G$34),1,0)</f>
        <v>#REF!</v>
      </c>
      <c r="E34" s="75"/>
      <c r="F34" s="75"/>
      <c r="G34" s="75" t="e">
        <f>QUARTILE(C34:C37,3)-QUARTILE(C34:C37,1)</f>
        <v>#REF!</v>
      </c>
      <c r="H34" s="1"/>
      <c r="I34" s="1"/>
      <c r="J34" s="1"/>
      <c r="L34" s="75" t="str">
        <f>Versuchsdurchführung!$A$7</f>
        <v>FeSO4  7 H2O</v>
      </c>
      <c r="M34" s="2">
        <f>M21+1</f>
        <v>33</v>
      </c>
      <c r="N34" s="73" t="e">
        <f>#REF!</f>
        <v>#REF!</v>
      </c>
      <c r="O34" s="75" t="e">
        <f>IF(OR(N34&lt;QUARTILE($N$34:$N$37,1)-1.5*$R$34,N34&gt;QUARTILE($N$34:$N$37,3)+1.5*$R$34),1,0)</f>
        <v>#REF!</v>
      </c>
      <c r="P34" s="1"/>
      <c r="Q34" s="1"/>
      <c r="R34" s="75" t="e">
        <f>QUARTILE(N34:N37,3)-QUARTILE(N34:N37,1)</f>
        <v>#REF!</v>
      </c>
      <c r="S34" s="1"/>
      <c r="T34" s="1"/>
      <c r="U34" s="1"/>
      <c r="W34" s="75" t="str">
        <f>Versuchsdurchführung!$A$7</f>
        <v>FeSO4  7 H2O</v>
      </c>
      <c r="X34" s="2">
        <f>X21+1</f>
        <v>33</v>
      </c>
      <c r="Y34" s="73" t="e">
        <f>#REF!</f>
        <v>#REF!</v>
      </c>
      <c r="Z34" s="75" t="e">
        <f>IF(OR(Y34&lt;QUARTILE($Y$34:$Y$37,1)-1.5*$AC$34,Y34&gt;QUARTILE($Y$34:$Y$37,3)+1.5*$AC$34),1,0)</f>
        <v>#REF!</v>
      </c>
      <c r="AA34" s="1"/>
      <c r="AB34" s="1"/>
      <c r="AC34" s="75" t="e">
        <f>QUARTILE(Y34:Y37,3)-QUARTILE(Y34:Y37,1)</f>
        <v>#REF!</v>
      </c>
      <c r="AD34" s="1"/>
      <c r="AE34" s="1"/>
      <c r="AF34" s="1"/>
    </row>
    <row r="35" spans="1:32" x14ac:dyDescent="0.2">
      <c r="A35" s="25" t="s">
        <v>265</v>
      </c>
      <c r="B35" s="2">
        <f>B34+1</f>
        <v>34</v>
      </c>
      <c r="C35" s="73" t="e">
        <f>#REF!</f>
        <v>#REF!</v>
      </c>
      <c r="D35" s="75" t="e">
        <f>IF(OR(C35&lt;QUARTILE($C$34:$C$37,1)-1.5*$G$34,C35&gt;QUARTILE($C$34:$C$37,3)+1.5*$G$34),1,0)</f>
        <v>#REF!</v>
      </c>
      <c r="E35" s="1"/>
      <c r="F35" s="1"/>
      <c r="G35" s="1"/>
      <c r="H35" s="1"/>
      <c r="I35" s="1"/>
      <c r="J35" s="1"/>
      <c r="L35" s="25" t="s">
        <v>265</v>
      </c>
      <c r="M35" s="2">
        <f>M34+1</f>
        <v>34</v>
      </c>
      <c r="N35" s="73" t="e">
        <f>#REF!</f>
        <v>#REF!</v>
      </c>
      <c r="O35" s="75" t="e">
        <f>IF(OR(N35&lt;QUARTILE($N$34:$N$37,1)-1.5*$R$34,N35&gt;QUARTILE($N$34:$N$37,3)+1.5*$R$34),1,0)</f>
        <v>#REF!</v>
      </c>
      <c r="P35" s="1"/>
      <c r="Q35" s="1"/>
      <c r="R35" s="1"/>
      <c r="S35" s="1"/>
      <c r="T35" s="1"/>
      <c r="U35" s="1"/>
      <c r="W35" s="25" t="s">
        <v>265</v>
      </c>
      <c r="X35" s="2">
        <f>X34+1</f>
        <v>34</v>
      </c>
      <c r="Y35" s="73" t="e">
        <f>#REF!</f>
        <v>#REF!</v>
      </c>
      <c r="Z35" s="75" t="e">
        <f>IF(OR(Y35&lt;QUARTILE($Y$34:$Y$37,1)-1.5*$AC$34,Y35&gt;QUARTILE($Y$34:$Y$37,3)+1.5*$AC$34),1,0)</f>
        <v>#REF!</v>
      </c>
      <c r="AA35" s="1"/>
      <c r="AB35" s="1"/>
      <c r="AC35" s="1"/>
      <c r="AD35" s="1"/>
      <c r="AE35" s="1"/>
      <c r="AF35" s="1"/>
    </row>
    <row r="36" spans="1:32" x14ac:dyDescent="0.2">
      <c r="A36" s="1"/>
      <c r="B36" s="2">
        <f>B35+1</f>
        <v>35</v>
      </c>
      <c r="C36" s="73" t="e">
        <f>#REF!</f>
        <v>#REF!</v>
      </c>
      <c r="D36" s="75" t="e">
        <f>IF(OR(C36&lt;QUARTILE($C$34:$C$37,1)-1.5*$G$34,C36&gt;QUARTILE($C$34:$C$37,3)+1.5*$G$34),1,0)</f>
        <v>#REF!</v>
      </c>
      <c r="E36" s="5" t="e">
        <f>#REF!</f>
        <v>#REF!</v>
      </c>
      <c r="F36" s="1"/>
      <c r="G36" s="1"/>
      <c r="H36" s="1"/>
      <c r="I36" s="1"/>
      <c r="J36" s="1"/>
      <c r="L36" s="1"/>
      <c r="M36" s="2">
        <f>M35+1</f>
        <v>35</v>
      </c>
      <c r="N36" s="73" t="e">
        <f>#REF!</f>
        <v>#REF!</v>
      </c>
      <c r="O36" s="75" t="e">
        <f>IF(OR(N36&lt;QUARTILE($N$34:$N$37,1)-1.5*$R$34,N36&gt;QUARTILE($N$34:$N$37,3)+1.5*$R$34),1,0)</f>
        <v>#REF!</v>
      </c>
      <c r="P36" s="1"/>
      <c r="Q36" s="1"/>
      <c r="R36" s="1"/>
      <c r="S36" s="1"/>
      <c r="T36" s="1"/>
      <c r="U36" s="1"/>
      <c r="W36" s="1"/>
      <c r="X36" s="2">
        <f>X35+1</f>
        <v>35</v>
      </c>
      <c r="Y36" s="73" t="e">
        <f>#REF!</f>
        <v>#REF!</v>
      </c>
      <c r="Z36" s="75" t="e">
        <f>IF(OR(Y36&lt;QUARTILE($Y$34:$Y$37,1)-1.5*$AC$34,Y36&gt;QUARTILE($Y$34:$Y$37,3)+1.5*$AC$34),1,0)</f>
        <v>#REF!</v>
      </c>
      <c r="AA36" s="1"/>
      <c r="AB36" s="1"/>
      <c r="AC36" s="1"/>
      <c r="AD36" s="1"/>
      <c r="AE36" s="1"/>
      <c r="AF36" s="1"/>
    </row>
    <row r="37" spans="1:32" x14ac:dyDescent="0.2">
      <c r="A37" s="1"/>
      <c r="B37" s="2">
        <f>B36+1</f>
        <v>36</v>
      </c>
      <c r="C37" s="83" t="e">
        <f>#REF!</f>
        <v>#REF!</v>
      </c>
      <c r="D37" s="75" t="e">
        <f>IF(OR(C37&lt;QUARTILE($C$34:$C$37,1)-1.5*$G$34,C37&gt;QUARTILE($C$34:$C$37,3)+1.5*$G$34),1,0)</f>
        <v>#REF!</v>
      </c>
      <c r="E37" s="5" t="e">
        <f>#REF!</f>
        <v>#REF!</v>
      </c>
      <c r="F37" s="1"/>
      <c r="G37" s="1"/>
      <c r="H37" s="1"/>
      <c r="I37" s="1"/>
      <c r="J37" s="1"/>
      <c r="L37" s="1"/>
      <c r="M37" s="2">
        <f>M36+1</f>
        <v>36</v>
      </c>
      <c r="N37" s="81" t="e">
        <f>#REF!</f>
        <v>#REF!</v>
      </c>
      <c r="O37" s="1" t="e">
        <f>IF(OR(N37&lt;QUARTILE($N$34:$N$37,1)-1.5*$R$34,N37&gt;QUARTILE($N$34:$N$37,3)+1.5*$R$34),1,0)</f>
        <v>#REF!</v>
      </c>
      <c r="P37" s="1"/>
      <c r="Q37" s="1"/>
      <c r="R37" s="1"/>
      <c r="S37" s="1"/>
      <c r="T37" s="1"/>
      <c r="U37" s="1"/>
      <c r="W37" s="1"/>
      <c r="X37" s="2">
        <f>X36+1</f>
        <v>36</v>
      </c>
      <c r="Y37" s="73" t="e">
        <f>#REF!</f>
        <v>#REF!</v>
      </c>
      <c r="Z37" s="75" t="e">
        <f>IF(OR(Y37&lt;QUARTILE($Y$34:$Y$37,1)-1.5*$AC$34,Y37&gt;QUARTILE($Y$34:$Y$37,3)+1.5*$AC$34),1,0)</f>
        <v>#REF!</v>
      </c>
      <c r="AA37" s="1"/>
      <c r="AB37" s="1"/>
      <c r="AC37" s="1"/>
      <c r="AD37" s="1"/>
      <c r="AE37" s="1"/>
      <c r="AF37" s="1"/>
    </row>
    <row r="38" spans="1:32" x14ac:dyDescent="0.2">
      <c r="C38" s="77" t="s">
        <v>293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P24"/>
  <sheetViews>
    <sheetView workbookViewId="0">
      <selection activeCell="M9" sqref="M9"/>
    </sheetView>
  </sheetViews>
  <sheetFormatPr baseColWidth="10" defaultRowHeight="15" x14ac:dyDescent="0.2"/>
  <cols>
    <col min="6" max="6" width="12.33203125" bestFit="1" customWidth="1"/>
  </cols>
  <sheetData>
    <row r="2" spans="2:16" ht="16" thickBot="1" x14ac:dyDescent="0.25"/>
    <row r="3" spans="2:16" ht="63" thickBot="1" x14ac:dyDescent="0.25">
      <c r="B3" s="31" t="s">
        <v>13</v>
      </c>
      <c r="C3" s="31" t="s">
        <v>14</v>
      </c>
      <c r="D3" s="31" t="s">
        <v>15</v>
      </c>
      <c r="E3" s="85" t="s">
        <v>16</v>
      </c>
      <c r="F3" s="85"/>
      <c r="G3" s="31" t="s">
        <v>17</v>
      </c>
      <c r="H3" s="31" t="s">
        <v>18</v>
      </c>
      <c r="I3" s="31" t="s">
        <v>19</v>
      </c>
      <c r="J3" s="31" t="s">
        <v>20</v>
      </c>
      <c r="K3" s="85" t="s">
        <v>21</v>
      </c>
      <c r="L3" s="85"/>
      <c r="M3" s="31" t="s">
        <v>22</v>
      </c>
      <c r="N3" s="31" t="s">
        <v>23</v>
      </c>
      <c r="O3" s="85" t="s">
        <v>24</v>
      </c>
      <c r="P3" s="85"/>
    </row>
    <row r="4" spans="2:16" ht="19" thickBot="1" x14ac:dyDescent="0.25">
      <c r="B4" s="32" t="s">
        <v>73</v>
      </c>
    </row>
    <row r="5" spans="2:16" ht="19" thickBot="1" x14ac:dyDescent="0.25">
      <c r="B5" s="42" t="s">
        <v>76</v>
      </c>
    </row>
    <row r="6" spans="2:16" ht="19" thickBot="1" x14ac:dyDescent="0.25">
      <c r="B6" s="32" t="s">
        <v>79</v>
      </c>
    </row>
    <row r="7" spans="2:16" ht="19" thickBot="1" x14ac:dyDescent="0.25">
      <c r="B7" s="42" t="s">
        <v>82</v>
      </c>
    </row>
    <row r="8" spans="2:16" ht="19" thickBot="1" x14ac:dyDescent="0.25">
      <c r="B8" s="32"/>
      <c r="C8" s="33"/>
      <c r="D8" s="34"/>
      <c r="E8" s="33"/>
      <c r="F8" s="35"/>
      <c r="G8" s="36"/>
      <c r="H8" s="37"/>
      <c r="I8" s="53"/>
      <c r="J8" s="39"/>
      <c r="K8" s="33"/>
      <c r="L8" s="40" t="s">
        <v>145</v>
      </c>
      <c r="N8" s="40"/>
      <c r="O8" s="33"/>
      <c r="P8" s="41"/>
    </row>
    <row r="9" spans="2:16" ht="19" thickBot="1" x14ac:dyDescent="0.25">
      <c r="B9" s="32"/>
      <c r="C9" s="33"/>
      <c r="D9" s="34"/>
      <c r="E9" s="33"/>
      <c r="F9" s="35"/>
      <c r="G9" s="36"/>
      <c r="H9" s="37"/>
      <c r="I9" s="53"/>
      <c r="J9" s="39"/>
      <c r="K9" s="33"/>
      <c r="L9" s="40" t="s">
        <v>146</v>
      </c>
      <c r="N9" s="40"/>
      <c r="O9" s="33"/>
      <c r="P9" s="41"/>
    </row>
    <row r="10" spans="2:16" ht="19" thickBot="1" x14ac:dyDescent="0.25">
      <c r="B10" s="32"/>
      <c r="C10" s="33"/>
      <c r="D10" s="34"/>
      <c r="E10" s="33"/>
      <c r="F10" s="35"/>
      <c r="G10" s="36"/>
      <c r="H10" s="37"/>
      <c r="I10" s="53"/>
      <c r="J10" s="39"/>
      <c r="K10" s="33"/>
      <c r="L10" s="40" t="s">
        <v>147</v>
      </c>
      <c r="N10" s="40"/>
      <c r="O10" s="33"/>
      <c r="P10" s="41"/>
    </row>
    <row r="11" spans="2:16" ht="19" thickBot="1" x14ac:dyDescent="0.25">
      <c r="B11" s="43" t="s">
        <v>74</v>
      </c>
    </row>
    <row r="12" spans="2:16" ht="19" thickBot="1" x14ac:dyDescent="0.25">
      <c r="B12" s="43" t="s">
        <v>77</v>
      </c>
    </row>
    <row r="13" spans="2:16" ht="19" thickBot="1" x14ac:dyDescent="0.25">
      <c r="B13" s="43" t="s">
        <v>80</v>
      </c>
    </row>
    <row r="14" spans="2:16" ht="19" thickBot="1" x14ac:dyDescent="0.25">
      <c r="B14" s="43" t="s">
        <v>83</v>
      </c>
    </row>
    <row r="15" spans="2:16" ht="19" thickBot="1" x14ac:dyDescent="0.25">
      <c r="B15" s="32"/>
      <c r="C15" s="33"/>
      <c r="D15" s="34"/>
      <c r="E15" s="33"/>
      <c r="F15" s="35"/>
      <c r="G15" s="36"/>
      <c r="H15" s="37"/>
      <c r="I15" s="53"/>
      <c r="J15" s="39"/>
      <c r="K15" s="33"/>
      <c r="L15" s="40" t="s">
        <v>145</v>
      </c>
      <c r="N15" s="40"/>
      <c r="O15" s="33"/>
      <c r="P15" s="41"/>
    </row>
    <row r="16" spans="2:16" ht="19" thickBot="1" x14ac:dyDescent="0.25">
      <c r="B16" s="32"/>
      <c r="C16" s="33"/>
      <c r="D16" s="34"/>
      <c r="E16" s="33"/>
      <c r="F16" s="35"/>
      <c r="G16" s="36"/>
      <c r="H16" s="37"/>
      <c r="I16" s="53"/>
      <c r="J16" s="39"/>
      <c r="K16" s="33"/>
      <c r="L16" s="40" t="s">
        <v>146</v>
      </c>
      <c r="N16" s="40"/>
      <c r="O16" s="33"/>
      <c r="P16" s="41"/>
    </row>
    <row r="17" spans="2:16" ht="19" thickBot="1" x14ac:dyDescent="0.25">
      <c r="B17" s="32"/>
      <c r="C17" s="33"/>
      <c r="D17" s="34"/>
      <c r="E17" s="33"/>
      <c r="F17" s="35"/>
      <c r="G17" s="36"/>
      <c r="H17" s="37"/>
      <c r="I17" s="53"/>
      <c r="J17" s="39"/>
      <c r="K17" s="33"/>
      <c r="L17" s="40" t="s">
        <v>147</v>
      </c>
      <c r="N17" s="40"/>
      <c r="O17" s="33"/>
      <c r="P17" s="41"/>
    </row>
    <row r="18" spans="2:16" ht="19" thickBot="1" x14ac:dyDescent="0.25">
      <c r="B18" s="32" t="s">
        <v>75</v>
      </c>
    </row>
    <row r="19" spans="2:16" ht="19" thickBot="1" x14ac:dyDescent="0.25">
      <c r="B19" s="42" t="s">
        <v>78</v>
      </c>
    </row>
    <row r="20" spans="2:16" ht="19" thickBot="1" x14ac:dyDescent="0.25">
      <c r="B20" s="32" t="s">
        <v>81</v>
      </c>
    </row>
    <row r="21" spans="2:16" ht="19" thickBot="1" x14ac:dyDescent="0.25">
      <c r="B21" s="42" t="s">
        <v>84</v>
      </c>
    </row>
    <row r="22" spans="2:16" ht="19" thickBot="1" x14ac:dyDescent="0.25">
      <c r="L22" s="40" t="s">
        <v>145</v>
      </c>
    </row>
    <row r="23" spans="2:16" ht="19" thickBot="1" x14ac:dyDescent="0.25">
      <c r="L23" s="40" t="s">
        <v>146</v>
      </c>
    </row>
    <row r="24" spans="2:16" ht="19" thickBot="1" x14ac:dyDescent="0.25">
      <c r="L24" s="40" t="s">
        <v>147</v>
      </c>
    </row>
  </sheetData>
  <mergeCells count="3">
    <mergeCell ref="E3:F3"/>
    <mergeCell ref="K3:L3"/>
    <mergeCell ref="O3:P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24"/>
  <sheetViews>
    <sheetView topLeftCell="A3" workbookViewId="0">
      <selection activeCell="M9" sqref="M9"/>
    </sheetView>
  </sheetViews>
  <sheetFormatPr baseColWidth="10" defaultRowHeight="15" x14ac:dyDescent="0.2"/>
  <cols>
    <col min="6" max="6" width="12.33203125" bestFit="1" customWidth="1"/>
  </cols>
  <sheetData>
    <row r="2" spans="2:16" ht="16" thickBot="1" x14ac:dyDescent="0.25"/>
    <row r="3" spans="2:16" ht="63" thickBot="1" x14ac:dyDescent="0.25">
      <c r="B3" s="31" t="s">
        <v>13</v>
      </c>
      <c r="C3" s="31" t="s">
        <v>14</v>
      </c>
      <c r="D3" s="31" t="s">
        <v>15</v>
      </c>
      <c r="E3" s="85" t="s">
        <v>16</v>
      </c>
      <c r="F3" s="85"/>
      <c r="G3" s="31" t="s">
        <v>17</v>
      </c>
      <c r="H3" s="31" t="s">
        <v>18</v>
      </c>
      <c r="I3" s="31" t="s">
        <v>19</v>
      </c>
      <c r="J3" s="31" t="s">
        <v>20</v>
      </c>
      <c r="K3" s="85" t="s">
        <v>21</v>
      </c>
      <c r="L3" s="85"/>
      <c r="M3" s="31" t="s">
        <v>22</v>
      </c>
      <c r="N3" s="31" t="s">
        <v>23</v>
      </c>
      <c r="O3" s="85" t="s">
        <v>24</v>
      </c>
      <c r="P3" s="85"/>
    </row>
    <row r="4" spans="2:16" ht="19" thickBot="1" x14ac:dyDescent="0.25">
      <c r="B4" s="32" t="s">
        <v>85</v>
      </c>
    </row>
    <row r="5" spans="2:16" ht="19" thickBot="1" x14ac:dyDescent="0.25">
      <c r="B5" s="42" t="s">
        <v>88</v>
      </c>
    </row>
    <row r="6" spans="2:16" ht="19" thickBot="1" x14ac:dyDescent="0.25">
      <c r="B6" s="32" t="s">
        <v>91</v>
      </c>
    </row>
    <row r="7" spans="2:16" ht="19" thickBot="1" x14ac:dyDescent="0.25">
      <c r="B7" s="42" t="s">
        <v>94</v>
      </c>
    </row>
    <row r="8" spans="2:16" ht="19" thickBot="1" x14ac:dyDescent="0.25">
      <c r="B8" s="32"/>
      <c r="C8" s="33"/>
      <c r="D8" s="34"/>
      <c r="E8" s="33"/>
      <c r="F8" s="35"/>
      <c r="G8" s="36"/>
      <c r="H8" s="37"/>
      <c r="I8" s="53"/>
      <c r="J8" s="39"/>
      <c r="K8" s="33"/>
      <c r="L8" s="40" t="s">
        <v>145</v>
      </c>
      <c r="N8" s="40"/>
      <c r="O8" s="33"/>
      <c r="P8" s="41"/>
    </row>
    <row r="9" spans="2:16" ht="19" thickBot="1" x14ac:dyDescent="0.25">
      <c r="B9" s="32"/>
      <c r="C9" s="33"/>
      <c r="D9" s="34"/>
      <c r="E9" s="33"/>
      <c r="F9" s="35"/>
      <c r="G9" s="36"/>
      <c r="H9" s="37"/>
      <c r="I9" s="53"/>
      <c r="J9" s="39"/>
      <c r="K9" s="33"/>
      <c r="L9" s="40" t="s">
        <v>146</v>
      </c>
      <c r="N9" s="40"/>
      <c r="O9" s="33"/>
      <c r="P9" s="41"/>
    </row>
    <row r="10" spans="2:16" ht="19" thickBot="1" x14ac:dyDescent="0.25">
      <c r="B10" s="32"/>
      <c r="C10" s="33"/>
      <c r="D10" s="34"/>
      <c r="E10" s="33"/>
      <c r="F10" s="35"/>
      <c r="G10" s="36"/>
      <c r="H10" s="37"/>
      <c r="I10" s="53"/>
      <c r="J10" s="39"/>
      <c r="K10" s="33"/>
      <c r="L10" s="40" t="s">
        <v>147</v>
      </c>
      <c r="N10" s="40"/>
      <c r="O10" s="33"/>
      <c r="P10" s="41"/>
    </row>
    <row r="11" spans="2:16" ht="19" thickBot="1" x14ac:dyDescent="0.25">
      <c r="B11" s="43" t="s">
        <v>86</v>
      </c>
    </row>
    <row r="12" spans="2:16" ht="19" thickBot="1" x14ac:dyDescent="0.25">
      <c r="B12" s="43" t="s">
        <v>89</v>
      </c>
    </row>
    <row r="13" spans="2:16" ht="19" thickBot="1" x14ac:dyDescent="0.25">
      <c r="B13" s="43" t="s">
        <v>92</v>
      </c>
    </row>
    <row r="14" spans="2:16" ht="19" thickBot="1" x14ac:dyDescent="0.25">
      <c r="B14" s="43" t="s">
        <v>95</v>
      </c>
    </row>
    <row r="15" spans="2:16" ht="19" thickBot="1" x14ac:dyDescent="0.25">
      <c r="B15" s="32"/>
      <c r="C15" s="33"/>
      <c r="D15" s="34"/>
      <c r="E15" s="33"/>
      <c r="F15" s="35"/>
      <c r="G15" s="36"/>
      <c r="H15" s="37"/>
      <c r="I15" s="53"/>
      <c r="J15" s="39"/>
      <c r="K15" s="33"/>
      <c r="L15" s="40" t="s">
        <v>145</v>
      </c>
      <c r="N15" s="40"/>
      <c r="O15" s="33"/>
      <c r="P15" s="41"/>
    </row>
    <row r="16" spans="2:16" ht="19" thickBot="1" x14ac:dyDescent="0.25">
      <c r="B16" s="32"/>
      <c r="C16" s="33"/>
      <c r="D16" s="34"/>
      <c r="E16" s="33"/>
      <c r="F16" s="35"/>
      <c r="G16" s="36"/>
      <c r="H16" s="37"/>
      <c r="I16" s="53"/>
      <c r="J16" s="39"/>
      <c r="K16" s="33"/>
      <c r="L16" s="40" t="s">
        <v>146</v>
      </c>
      <c r="N16" s="40"/>
      <c r="O16" s="33"/>
      <c r="P16" s="41"/>
    </row>
    <row r="17" spans="2:16" ht="19" thickBot="1" x14ac:dyDescent="0.25">
      <c r="B17" s="32"/>
      <c r="C17" s="33"/>
      <c r="D17" s="34"/>
      <c r="E17" s="33"/>
      <c r="F17" s="35"/>
      <c r="G17" s="36"/>
      <c r="H17" s="37"/>
      <c r="I17" s="53"/>
      <c r="J17" s="39"/>
      <c r="K17" s="33"/>
      <c r="L17" s="40" t="s">
        <v>147</v>
      </c>
      <c r="N17" s="40"/>
      <c r="O17" s="33"/>
      <c r="P17" s="41"/>
    </row>
    <row r="18" spans="2:16" ht="19" thickBot="1" x14ac:dyDescent="0.25">
      <c r="B18" s="32" t="s">
        <v>87</v>
      </c>
    </row>
    <row r="19" spans="2:16" ht="19" thickBot="1" x14ac:dyDescent="0.25">
      <c r="B19" s="42" t="s">
        <v>90</v>
      </c>
    </row>
    <row r="20" spans="2:16" ht="19" thickBot="1" x14ac:dyDescent="0.25">
      <c r="B20" s="32" t="s">
        <v>93</v>
      </c>
    </row>
    <row r="21" spans="2:16" ht="19" thickBot="1" x14ac:dyDescent="0.25">
      <c r="B21" s="42" t="s">
        <v>96</v>
      </c>
    </row>
    <row r="22" spans="2:16" ht="19" thickBot="1" x14ac:dyDescent="0.25">
      <c r="L22" s="40" t="s">
        <v>145</v>
      </c>
    </row>
    <row r="23" spans="2:16" ht="19" thickBot="1" x14ac:dyDescent="0.25">
      <c r="L23" s="40" t="s">
        <v>146</v>
      </c>
    </row>
    <row r="24" spans="2:16" ht="19" thickBot="1" x14ac:dyDescent="0.25">
      <c r="L24" s="40" t="s">
        <v>147</v>
      </c>
    </row>
  </sheetData>
  <mergeCells count="3">
    <mergeCell ref="E3:F3"/>
    <mergeCell ref="K3:L3"/>
    <mergeCell ref="O3:P3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24"/>
  <sheetViews>
    <sheetView topLeftCell="A3" workbookViewId="0">
      <selection activeCell="M9" sqref="M9"/>
    </sheetView>
  </sheetViews>
  <sheetFormatPr baseColWidth="10" defaultRowHeight="15" x14ac:dyDescent="0.2"/>
  <cols>
    <col min="6" max="6" width="12.33203125" bestFit="1" customWidth="1"/>
    <col min="13" max="13" width="12.1640625" bestFit="1" customWidth="1"/>
  </cols>
  <sheetData>
    <row r="2" spans="2:16" ht="16" thickBot="1" x14ac:dyDescent="0.25"/>
    <row r="3" spans="2:16" ht="65" thickBot="1" x14ac:dyDescent="0.25">
      <c r="B3" s="31" t="s">
        <v>13</v>
      </c>
      <c r="C3" s="31" t="s">
        <v>14</v>
      </c>
      <c r="D3" s="31" t="s">
        <v>15</v>
      </c>
      <c r="E3" s="85" t="s">
        <v>16</v>
      </c>
      <c r="F3" s="85"/>
      <c r="G3" s="31" t="s">
        <v>17</v>
      </c>
      <c r="H3" s="31" t="s">
        <v>18</v>
      </c>
      <c r="I3" s="31" t="s">
        <v>19</v>
      </c>
      <c r="J3" s="31" t="s">
        <v>20</v>
      </c>
      <c r="K3" s="85" t="s">
        <v>21</v>
      </c>
      <c r="L3" s="85"/>
      <c r="M3" s="31" t="s">
        <v>22</v>
      </c>
      <c r="N3" s="31" t="s">
        <v>23</v>
      </c>
      <c r="O3" s="85" t="s">
        <v>24</v>
      </c>
      <c r="P3" s="85"/>
    </row>
    <row r="4" spans="2:16" ht="19" thickBot="1" x14ac:dyDescent="0.25">
      <c r="B4" s="32" t="s">
        <v>97</v>
      </c>
    </row>
    <row r="5" spans="2:16" ht="19" thickBot="1" x14ac:dyDescent="0.25">
      <c r="B5" s="42" t="s">
        <v>100</v>
      </c>
    </row>
    <row r="6" spans="2:16" ht="19" thickBot="1" x14ac:dyDescent="0.25">
      <c r="B6" s="32" t="s">
        <v>103</v>
      </c>
    </row>
    <row r="7" spans="2:16" ht="19" thickBot="1" x14ac:dyDescent="0.25">
      <c r="B7" s="42" t="s">
        <v>106</v>
      </c>
    </row>
    <row r="8" spans="2:16" ht="19" thickBot="1" x14ac:dyDescent="0.25">
      <c r="B8" s="32"/>
      <c r="C8" s="33"/>
      <c r="D8" s="34"/>
      <c r="E8" s="33"/>
      <c r="F8" s="35"/>
      <c r="G8" s="36"/>
      <c r="H8" s="37"/>
      <c r="I8" s="53"/>
      <c r="J8" s="39"/>
      <c r="K8" s="33"/>
      <c r="L8" s="40" t="s">
        <v>145</v>
      </c>
      <c r="N8" s="40"/>
      <c r="O8" s="33"/>
      <c r="P8" s="41"/>
    </row>
    <row r="9" spans="2:16" ht="19" thickBot="1" x14ac:dyDescent="0.25">
      <c r="B9" s="32"/>
      <c r="C9" s="33"/>
      <c r="D9" s="34"/>
      <c r="E9" s="33"/>
      <c r="F9" s="35"/>
      <c r="G9" s="36"/>
      <c r="H9" s="37"/>
      <c r="I9" s="53"/>
      <c r="J9" s="39"/>
      <c r="K9" s="33"/>
      <c r="L9" s="40" t="s">
        <v>146</v>
      </c>
      <c r="N9" s="40"/>
      <c r="O9" s="33"/>
      <c r="P9" s="41"/>
    </row>
    <row r="10" spans="2:16" ht="19" thickBot="1" x14ac:dyDescent="0.25">
      <c r="B10" s="32"/>
      <c r="C10" s="33"/>
      <c r="D10" s="34"/>
      <c r="E10" s="33"/>
      <c r="F10" s="35"/>
      <c r="G10" s="36"/>
      <c r="H10" s="37"/>
      <c r="I10" s="53"/>
      <c r="J10" s="39"/>
      <c r="K10" s="33"/>
      <c r="L10" s="40" t="s">
        <v>147</v>
      </c>
      <c r="N10" s="40"/>
      <c r="O10" s="33"/>
      <c r="P10" s="41"/>
    </row>
    <row r="11" spans="2:16" ht="19" thickBot="1" x14ac:dyDescent="0.25">
      <c r="B11" s="43" t="s">
        <v>98</v>
      </c>
    </row>
    <row r="12" spans="2:16" ht="19" thickBot="1" x14ac:dyDescent="0.25">
      <c r="B12" s="43" t="s">
        <v>101</v>
      </c>
    </row>
    <row r="13" spans="2:16" ht="19" thickBot="1" x14ac:dyDescent="0.25">
      <c r="B13" s="43" t="s">
        <v>104</v>
      </c>
    </row>
    <row r="14" spans="2:16" ht="19" thickBot="1" x14ac:dyDescent="0.25">
      <c r="B14" s="43" t="s">
        <v>107</v>
      </c>
    </row>
    <row r="15" spans="2:16" ht="19" thickBot="1" x14ac:dyDescent="0.25">
      <c r="B15" s="32"/>
      <c r="C15" s="33"/>
      <c r="D15" s="34"/>
      <c r="E15" s="33"/>
      <c r="F15" s="35"/>
      <c r="G15" s="36"/>
      <c r="H15" s="37"/>
      <c r="I15" s="53"/>
      <c r="J15" s="39"/>
      <c r="K15" s="33"/>
      <c r="L15" s="40" t="s">
        <v>145</v>
      </c>
      <c r="N15" s="40"/>
      <c r="O15" s="33"/>
      <c r="P15" s="41"/>
    </row>
    <row r="16" spans="2:16" ht="19" thickBot="1" x14ac:dyDescent="0.25">
      <c r="B16" s="32"/>
      <c r="C16" s="33"/>
      <c r="D16" s="34"/>
      <c r="E16" s="33"/>
      <c r="F16" s="35"/>
      <c r="G16" s="36"/>
      <c r="H16" s="37"/>
      <c r="I16" s="53"/>
      <c r="J16" s="39"/>
      <c r="K16" s="33"/>
      <c r="L16" s="40" t="s">
        <v>146</v>
      </c>
      <c r="N16" s="40"/>
      <c r="O16" s="33"/>
      <c r="P16" s="41"/>
    </row>
    <row r="17" spans="2:16" ht="19" thickBot="1" x14ac:dyDescent="0.25">
      <c r="B17" s="32"/>
      <c r="C17" s="33"/>
      <c r="D17" s="34"/>
      <c r="E17" s="33"/>
      <c r="F17" s="35"/>
      <c r="G17" s="36"/>
      <c r="H17" s="37"/>
      <c r="I17" s="53"/>
      <c r="J17" s="39"/>
      <c r="K17" s="33"/>
      <c r="L17" s="40" t="s">
        <v>147</v>
      </c>
      <c r="N17" s="40"/>
      <c r="O17" s="33"/>
      <c r="P17" s="41"/>
    </row>
    <row r="18" spans="2:16" ht="19" thickBot="1" x14ac:dyDescent="0.25">
      <c r="B18" s="32" t="s">
        <v>99</v>
      </c>
    </row>
    <row r="19" spans="2:16" ht="19" thickBot="1" x14ac:dyDescent="0.25">
      <c r="B19" s="42" t="s">
        <v>102</v>
      </c>
    </row>
    <row r="20" spans="2:16" ht="19" thickBot="1" x14ac:dyDescent="0.25">
      <c r="B20" s="32" t="s">
        <v>105</v>
      </c>
    </row>
    <row r="21" spans="2:16" ht="19" thickBot="1" x14ac:dyDescent="0.25">
      <c r="B21" s="42" t="s">
        <v>108</v>
      </c>
    </row>
    <row r="22" spans="2:16" ht="19" thickBot="1" x14ac:dyDescent="0.25">
      <c r="L22" s="40" t="s">
        <v>145</v>
      </c>
    </row>
    <row r="23" spans="2:16" ht="19" thickBot="1" x14ac:dyDescent="0.25">
      <c r="L23" s="40" t="s">
        <v>146</v>
      </c>
    </row>
    <row r="24" spans="2:16" ht="19" thickBot="1" x14ac:dyDescent="0.25">
      <c r="L24" s="40" t="s">
        <v>147</v>
      </c>
    </row>
  </sheetData>
  <mergeCells count="3">
    <mergeCell ref="E3:F3"/>
    <mergeCell ref="K3:L3"/>
    <mergeCell ref="O3:P3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P24"/>
  <sheetViews>
    <sheetView workbookViewId="0">
      <selection activeCell="M9" sqref="M9"/>
    </sheetView>
  </sheetViews>
  <sheetFormatPr baseColWidth="10" defaultRowHeight="15" x14ac:dyDescent="0.2"/>
  <cols>
    <col min="6" max="6" width="12.33203125" bestFit="1" customWidth="1"/>
    <col min="13" max="13" width="12.1640625" bestFit="1" customWidth="1"/>
  </cols>
  <sheetData>
    <row r="2" spans="2:16" ht="16" thickBot="1" x14ac:dyDescent="0.25"/>
    <row r="3" spans="2:16" ht="65" thickBot="1" x14ac:dyDescent="0.25">
      <c r="B3" s="31" t="s">
        <v>13</v>
      </c>
      <c r="C3" s="31" t="s">
        <v>14</v>
      </c>
      <c r="D3" s="31" t="s">
        <v>15</v>
      </c>
      <c r="E3" s="85" t="s">
        <v>16</v>
      </c>
      <c r="F3" s="85"/>
      <c r="G3" s="31" t="s">
        <v>17</v>
      </c>
      <c r="H3" s="31" t="s">
        <v>18</v>
      </c>
      <c r="I3" s="31" t="s">
        <v>19</v>
      </c>
      <c r="J3" s="31" t="s">
        <v>20</v>
      </c>
      <c r="K3" s="85" t="s">
        <v>21</v>
      </c>
      <c r="L3" s="85"/>
      <c r="M3" s="31" t="s">
        <v>22</v>
      </c>
      <c r="N3" s="31" t="s">
        <v>23</v>
      </c>
      <c r="O3" s="85" t="s">
        <v>24</v>
      </c>
      <c r="P3" s="85"/>
    </row>
    <row r="4" spans="2:16" ht="19" thickBot="1" x14ac:dyDescent="0.25">
      <c r="B4" s="32" t="s">
        <v>109</v>
      </c>
    </row>
    <row r="5" spans="2:16" ht="19" thickBot="1" x14ac:dyDescent="0.25">
      <c r="B5" s="42" t="s">
        <v>112</v>
      </c>
    </row>
    <row r="6" spans="2:16" ht="19" thickBot="1" x14ac:dyDescent="0.25">
      <c r="B6" s="32" t="s">
        <v>115</v>
      </c>
    </row>
    <row r="7" spans="2:16" ht="19" thickBot="1" x14ac:dyDescent="0.25">
      <c r="B7" s="42" t="s">
        <v>118</v>
      </c>
    </row>
    <row r="8" spans="2:16" ht="19" thickBot="1" x14ac:dyDescent="0.25">
      <c r="B8" s="32"/>
      <c r="C8" s="33"/>
      <c r="D8" s="34"/>
      <c r="E8" s="33"/>
      <c r="F8" s="35"/>
      <c r="G8" s="36"/>
      <c r="H8" s="37"/>
      <c r="I8" s="53"/>
      <c r="J8" s="39"/>
      <c r="K8" s="33"/>
      <c r="L8" s="40" t="s">
        <v>145</v>
      </c>
      <c r="N8" s="40"/>
      <c r="O8" s="33"/>
      <c r="P8" s="41"/>
    </row>
    <row r="9" spans="2:16" ht="19" thickBot="1" x14ac:dyDescent="0.25">
      <c r="B9" s="32"/>
      <c r="C9" s="33"/>
      <c r="D9" s="34"/>
      <c r="E9" s="33"/>
      <c r="F9" s="35"/>
      <c r="G9" s="36"/>
      <c r="H9" s="37"/>
      <c r="I9" s="53"/>
      <c r="J9" s="39"/>
      <c r="K9" s="33"/>
      <c r="L9" s="40" t="s">
        <v>146</v>
      </c>
      <c r="N9" s="40"/>
      <c r="O9" s="33"/>
      <c r="P9" s="41"/>
    </row>
    <row r="10" spans="2:16" ht="19" thickBot="1" x14ac:dyDescent="0.25">
      <c r="B10" s="32"/>
      <c r="C10" s="33"/>
      <c r="D10" s="34"/>
      <c r="E10" s="33"/>
      <c r="F10" s="35"/>
      <c r="G10" s="36"/>
      <c r="H10" s="37"/>
      <c r="I10" s="53"/>
      <c r="J10" s="39"/>
      <c r="K10" s="33"/>
      <c r="L10" s="40" t="s">
        <v>147</v>
      </c>
      <c r="N10" s="40"/>
      <c r="O10" s="33"/>
      <c r="P10" s="41"/>
    </row>
    <row r="11" spans="2:16" ht="19" thickBot="1" x14ac:dyDescent="0.25">
      <c r="B11" s="43" t="s">
        <v>110</v>
      </c>
    </row>
    <row r="12" spans="2:16" ht="19" thickBot="1" x14ac:dyDescent="0.25">
      <c r="B12" s="43" t="s">
        <v>113</v>
      </c>
    </row>
    <row r="13" spans="2:16" ht="19" thickBot="1" x14ac:dyDescent="0.25">
      <c r="B13" s="43" t="s">
        <v>116</v>
      </c>
    </row>
    <row r="14" spans="2:16" ht="19" thickBot="1" x14ac:dyDescent="0.25">
      <c r="B14" s="43" t="s">
        <v>119</v>
      </c>
    </row>
    <row r="15" spans="2:16" ht="19" thickBot="1" x14ac:dyDescent="0.25">
      <c r="B15" s="32"/>
      <c r="C15" s="33"/>
      <c r="D15" s="34"/>
      <c r="E15" s="33"/>
      <c r="F15" s="35"/>
      <c r="G15" s="36"/>
      <c r="H15" s="37"/>
      <c r="I15" s="53"/>
      <c r="J15" s="39"/>
      <c r="K15" s="33"/>
      <c r="L15" s="40" t="s">
        <v>145</v>
      </c>
      <c r="N15" s="40"/>
      <c r="O15" s="33"/>
      <c r="P15" s="41"/>
    </row>
    <row r="16" spans="2:16" ht="19" thickBot="1" x14ac:dyDescent="0.25">
      <c r="B16" s="32"/>
      <c r="C16" s="33"/>
      <c r="D16" s="34"/>
      <c r="E16" s="33"/>
      <c r="F16" s="35"/>
      <c r="G16" s="36"/>
      <c r="H16" s="37"/>
      <c r="I16" s="53"/>
      <c r="J16" s="39"/>
      <c r="K16" s="33"/>
      <c r="L16" s="40" t="s">
        <v>146</v>
      </c>
      <c r="N16" s="40"/>
      <c r="O16" s="33"/>
      <c r="P16" s="41"/>
    </row>
    <row r="17" spans="2:16" ht="19" thickBot="1" x14ac:dyDescent="0.25">
      <c r="B17" s="32"/>
      <c r="C17" s="33"/>
      <c r="D17" s="34"/>
      <c r="E17" s="33"/>
      <c r="F17" s="35"/>
      <c r="G17" s="36"/>
      <c r="H17" s="37"/>
      <c r="I17" s="53"/>
      <c r="J17" s="39"/>
      <c r="K17" s="33"/>
      <c r="L17" s="40" t="s">
        <v>147</v>
      </c>
      <c r="N17" s="40"/>
      <c r="O17" s="33"/>
      <c r="P17" s="41"/>
    </row>
    <row r="18" spans="2:16" ht="19" thickBot="1" x14ac:dyDescent="0.25">
      <c r="B18" s="32" t="s">
        <v>111</v>
      </c>
    </row>
    <row r="19" spans="2:16" ht="19" thickBot="1" x14ac:dyDescent="0.25">
      <c r="B19" s="42" t="s">
        <v>114</v>
      </c>
    </row>
    <row r="20" spans="2:16" ht="19" thickBot="1" x14ac:dyDescent="0.25">
      <c r="B20" s="32" t="s">
        <v>117</v>
      </c>
    </row>
    <row r="21" spans="2:16" ht="19" thickBot="1" x14ac:dyDescent="0.25">
      <c r="B21" s="42" t="s">
        <v>120</v>
      </c>
    </row>
    <row r="22" spans="2:16" ht="19" thickBot="1" x14ac:dyDescent="0.25">
      <c r="L22" s="40" t="s">
        <v>145</v>
      </c>
    </row>
    <row r="23" spans="2:16" ht="19" thickBot="1" x14ac:dyDescent="0.25">
      <c r="L23" s="40" t="s">
        <v>146</v>
      </c>
    </row>
    <row r="24" spans="2:16" ht="19" thickBot="1" x14ac:dyDescent="0.25">
      <c r="L24" s="40" t="s">
        <v>147</v>
      </c>
    </row>
  </sheetData>
  <mergeCells count="3">
    <mergeCell ref="E3:F3"/>
    <mergeCell ref="K3:L3"/>
    <mergeCell ref="O3:P3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55"/>
  <sheetViews>
    <sheetView workbookViewId="0">
      <selection activeCell="C51" sqref="C51:L52"/>
    </sheetView>
  </sheetViews>
  <sheetFormatPr baseColWidth="10" defaultRowHeight="15" x14ac:dyDescent="0.2"/>
  <cols>
    <col min="6" max="6" width="12.33203125" bestFit="1" customWidth="1"/>
    <col min="13" max="13" width="12.1640625" bestFit="1" customWidth="1"/>
  </cols>
  <sheetData>
    <row r="2" spans="2:16" ht="16" thickBot="1" x14ac:dyDescent="0.25">
      <c r="M2" s="72" t="s">
        <v>264</v>
      </c>
      <c r="N2" s="72"/>
    </row>
    <row r="3" spans="2:16" ht="51" thickBot="1" x14ac:dyDescent="0.25">
      <c r="B3" s="54" t="s">
        <v>13</v>
      </c>
      <c r="C3" s="54" t="s">
        <v>215</v>
      </c>
      <c r="D3" s="54" t="s">
        <v>216</v>
      </c>
      <c r="E3" s="89" t="s">
        <v>217</v>
      </c>
      <c r="F3" s="89"/>
      <c r="G3" s="54" t="s">
        <v>17</v>
      </c>
      <c r="H3" s="54" t="s">
        <v>18</v>
      </c>
      <c r="I3" s="54" t="s">
        <v>218</v>
      </c>
      <c r="J3" s="54" t="s">
        <v>219</v>
      </c>
      <c r="K3" s="89" t="s">
        <v>220</v>
      </c>
      <c r="L3" s="89"/>
      <c r="M3" s="54" t="s">
        <v>221</v>
      </c>
      <c r="N3" s="54" t="s">
        <v>222</v>
      </c>
      <c r="O3" s="89" t="s">
        <v>223</v>
      </c>
      <c r="P3" s="89"/>
    </row>
    <row r="4" spans="2:16" ht="16" thickBot="1" x14ac:dyDescent="0.25">
      <c r="B4" s="55" t="s">
        <v>121</v>
      </c>
      <c r="M4" s="64" t="e">
        <f>(#REF!/10)/(100/5.9)</f>
        <v>#REF!</v>
      </c>
      <c r="N4" s="47" t="e">
        <f>(#REF!/100)</f>
        <v>#REF!</v>
      </c>
      <c r="O4" s="58" t="e">
        <f>#REF!</f>
        <v>#REF!</v>
      </c>
      <c r="P4" s="64" t="e">
        <f>(#REF!/100)</f>
        <v>#REF!</v>
      </c>
    </row>
    <row r="5" spans="2:16" ht="16" thickBot="1" x14ac:dyDescent="0.25">
      <c r="B5" s="55" t="s">
        <v>122</v>
      </c>
      <c r="M5" s="64" t="e">
        <f>(#REF!/10)/(100/5.9)</f>
        <v>#REF!</v>
      </c>
      <c r="N5" s="47" t="e">
        <f>(#REF!/100)</f>
        <v>#REF!</v>
      </c>
      <c r="O5" s="58" t="e">
        <f>#REF!</f>
        <v>#REF!</v>
      </c>
      <c r="P5" s="64" t="e">
        <f>(#REF!/100)</f>
        <v>#REF!</v>
      </c>
    </row>
    <row r="6" spans="2:16" ht="16" thickBot="1" x14ac:dyDescent="0.25">
      <c r="B6" s="55" t="s">
        <v>123</v>
      </c>
      <c r="M6" s="64" t="e">
        <f>(#REF!/10)/(100/5.9)</f>
        <v>#REF!</v>
      </c>
      <c r="N6" s="47" t="e">
        <f>(#REF!/100)</f>
        <v>#REF!</v>
      </c>
      <c r="O6" s="58" t="e">
        <f>#REF!</f>
        <v>#REF!</v>
      </c>
      <c r="P6" s="64" t="e">
        <f>(#REF!/100)</f>
        <v>#REF!</v>
      </c>
    </row>
    <row r="7" spans="2:16" ht="16" thickBot="1" x14ac:dyDescent="0.25">
      <c r="B7" s="55" t="s">
        <v>124</v>
      </c>
      <c r="M7" s="64" t="e">
        <f>(#REF!/10)/(100/5.9)</f>
        <v>#REF!</v>
      </c>
      <c r="N7" s="47" t="e">
        <f>(#REF!/100)</f>
        <v>#REF!</v>
      </c>
      <c r="O7" s="58" t="e">
        <f>#REF!</f>
        <v>#REF!</v>
      </c>
      <c r="P7" s="64" t="e">
        <f>(#REF!/100)</f>
        <v>#REF!</v>
      </c>
    </row>
    <row r="8" spans="2:16" ht="16" thickBot="1" x14ac:dyDescent="0.25">
      <c r="B8" s="55"/>
      <c r="C8" s="56"/>
      <c r="D8" s="57"/>
      <c r="E8" s="65"/>
      <c r="F8" s="59"/>
      <c r="G8" s="60"/>
      <c r="H8" s="61"/>
      <c r="I8" s="62"/>
      <c r="J8" s="63"/>
      <c r="K8" s="58"/>
      <c r="L8" s="47" t="s">
        <v>145</v>
      </c>
      <c r="M8" s="47" t="e">
        <f>AVERAGE(M4:M7)</f>
        <v>#REF!</v>
      </c>
      <c r="N8" s="47"/>
      <c r="O8" s="58"/>
      <c r="P8" s="64"/>
    </row>
    <row r="9" spans="2:16" ht="16" thickBot="1" x14ac:dyDescent="0.25">
      <c r="B9" s="55"/>
      <c r="C9" s="56"/>
      <c r="D9" s="57"/>
      <c r="E9" s="65"/>
      <c r="F9" s="59"/>
      <c r="G9" s="60"/>
      <c r="H9" s="61"/>
      <c r="I9" s="62"/>
      <c r="J9" s="63"/>
      <c r="K9" s="58"/>
      <c r="L9" s="47" t="s">
        <v>146</v>
      </c>
      <c r="M9" s="48" t="e">
        <f>VARA(M4,M5,M6,M7)</f>
        <v>#REF!</v>
      </c>
      <c r="N9" s="47"/>
      <c r="O9" s="58"/>
      <c r="P9" s="64"/>
    </row>
    <row r="10" spans="2:16" ht="16" thickBot="1" x14ac:dyDescent="0.25">
      <c r="B10" s="55"/>
      <c r="C10" s="56"/>
      <c r="D10" s="57"/>
      <c r="E10" s="65"/>
      <c r="F10" s="59"/>
      <c r="G10" s="60"/>
      <c r="H10" s="61"/>
      <c r="I10" s="62"/>
      <c r="J10" s="63"/>
      <c r="K10" s="58"/>
      <c r="L10" s="47" t="s">
        <v>147</v>
      </c>
      <c r="M10" s="47" t="e">
        <f>SQRT(M9)</f>
        <v>#REF!</v>
      </c>
      <c r="N10" s="47"/>
      <c r="O10" s="58"/>
      <c r="P10" s="64"/>
    </row>
    <row r="11" spans="2:16" ht="16" thickBot="1" x14ac:dyDescent="0.25">
      <c r="B11" s="55" t="s">
        <v>127</v>
      </c>
      <c r="M11" s="47" t="e">
        <f>(#REF!/10)/(100/5.9)</f>
        <v>#REF!</v>
      </c>
      <c r="N11" s="47" t="e">
        <f>(#REF!/100)</f>
        <v>#REF!</v>
      </c>
      <c r="O11" s="58" t="e">
        <f>#REF!</f>
        <v>#REF!</v>
      </c>
      <c r="P11" s="64" t="e">
        <f>(#REF!/100)</f>
        <v>#REF!</v>
      </c>
    </row>
    <row r="12" spans="2:16" ht="16" thickBot="1" x14ac:dyDescent="0.25">
      <c r="B12" s="68" t="s">
        <v>128</v>
      </c>
      <c r="M12" s="70" t="e">
        <f>(#REF!/10)/(100/5.9)</f>
        <v>#REF!</v>
      </c>
      <c r="N12" s="70" t="e">
        <f>(#REF!/100)</f>
        <v>#REF!</v>
      </c>
      <c r="O12" s="69" t="e">
        <f>#REF!</f>
        <v>#REF!</v>
      </c>
      <c r="P12" s="71" t="e">
        <f>(#REF!/100)</f>
        <v>#REF!</v>
      </c>
    </row>
    <row r="13" spans="2:16" ht="19.5" customHeight="1" thickBot="1" x14ac:dyDescent="0.25">
      <c r="B13" s="68" t="s">
        <v>129</v>
      </c>
      <c r="M13" s="70" t="e">
        <f>(#REF!/10)/(100/5.9)</f>
        <v>#REF!</v>
      </c>
      <c r="N13" s="70" t="e">
        <f>(#REF!/100)</f>
        <v>#REF!</v>
      </c>
      <c r="O13" s="69" t="e">
        <f>#REF!</f>
        <v>#REF!</v>
      </c>
      <c r="P13" s="71" t="e">
        <f>(#REF!/100)</f>
        <v>#REF!</v>
      </c>
    </row>
    <row r="14" spans="2:16" ht="16" thickBot="1" x14ac:dyDescent="0.25">
      <c r="B14" s="68" t="s">
        <v>130</v>
      </c>
      <c r="M14" s="70" t="e">
        <f>(#REF!/10)/(100/5.9)</f>
        <v>#REF!</v>
      </c>
      <c r="N14" s="70" t="e">
        <f>(#REF!/100)</f>
        <v>#REF!</v>
      </c>
      <c r="O14" s="69" t="e">
        <f>#REF!</f>
        <v>#REF!</v>
      </c>
      <c r="P14" s="71" t="e">
        <f>(#REF!/100)</f>
        <v>#REF!</v>
      </c>
    </row>
    <row r="15" spans="2:16" ht="16" thickBot="1" x14ac:dyDescent="0.25">
      <c r="B15" s="55"/>
      <c r="C15" s="56"/>
      <c r="D15" s="57"/>
      <c r="E15" s="66"/>
      <c r="F15" s="59"/>
      <c r="G15" s="60"/>
      <c r="H15" s="61"/>
      <c r="I15" s="62"/>
      <c r="J15" s="63"/>
      <c r="K15" s="58"/>
      <c r="L15" s="47" t="s">
        <v>145</v>
      </c>
      <c r="M15" s="47" t="e">
        <f>AVERAGE(M11:M14)</f>
        <v>#REF!</v>
      </c>
      <c r="N15" s="47"/>
      <c r="O15" s="58"/>
      <c r="P15" s="64"/>
    </row>
    <row r="16" spans="2:16" ht="16" thickBot="1" x14ac:dyDescent="0.25">
      <c r="B16" s="55"/>
      <c r="C16" s="56"/>
      <c r="D16" s="57"/>
      <c r="E16" s="66"/>
      <c r="F16" s="59"/>
      <c r="G16" s="60"/>
      <c r="H16" s="61"/>
      <c r="I16" s="62"/>
      <c r="J16" s="63"/>
      <c r="K16" s="58"/>
      <c r="L16" s="47" t="s">
        <v>146</v>
      </c>
      <c r="M16" s="48" t="e">
        <f>VARA(M11,M12,M13,M14)</f>
        <v>#REF!</v>
      </c>
      <c r="N16" s="47"/>
      <c r="O16" s="58"/>
      <c r="P16" s="64"/>
    </row>
    <row r="17" spans="2:16" ht="16" thickBot="1" x14ac:dyDescent="0.25">
      <c r="B17" s="55"/>
      <c r="C17" s="56"/>
      <c r="D17" s="57"/>
      <c r="E17" s="66"/>
      <c r="F17" s="59"/>
      <c r="G17" s="60"/>
      <c r="H17" s="61"/>
      <c r="I17" s="62"/>
      <c r="J17" s="63"/>
      <c r="K17" s="58"/>
      <c r="L17" s="47" t="s">
        <v>147</v>
      </c>
      <c r="M17" s="47" t="e">
        <f>SQRT(M16)</f>
        <v>#REF!</v>
      </c>
      <c r="N17" s="47"/>
      <c r="O17" s="58"/>
      <c r="P17" s="64"/>
    </row>
    <row r="18" spans="2:16" ht="16" thickBot="1" x14ac:dyDescent="0.25">
      <c r="B18" s="55" t="s">
        <v>133</v>
      </c>
      <c r="M18" s="47" t="e">
        <f>(#REF!/10)/(100/5.9)</f>
        <v>#REF!</v>
      </c>
      <c r="N18" s="47" t="e">
        <f>(#REF!/100)</f>
        <v>#REF!</v>
      </c>
      <c r="O18" s="58" t="e">
        <f>#REF!</f>
        <v>#REF!</v>
      </c>
      <c r="P18" s="64" t="e">
        <f>(#REF!/100)</f>
        <v>#REF!</v>
      </c>
    </row>
    <row r="19" spans="2:16" ht="16" thickBot="1" x14ac:dyDescent="0.25">
      <c r="B19" s="55" t="s">
        <v>134</v>
      </c>
      <c r="M19" s="47" t="e">
        <f>(#REF!/10)/(100/5.9)</f>
        <v>#REF!</v>
      </c>
      <c r="N19" s="47" t="e">
        <f>(#REF!/100)</f>
        <v>#REF!</v>
      </c>
      <c r="O19" s="58"/>
      <c r="P19" s="64" t="e">
        <f>(#REF!/100)</f>
        <v>#REF!</v>
      </c>
    </row>
    <row r="20" spans="2:16" ht="16" thickBot="1" x14ac:dyDescent="0.25">
      <c r="B20" s="55" t="s">
        <v>135</v>
      </c>
      <c r="M20" s="47" t="e">
        <f>(#REF!/10)/(100/5.9)</f>
        <v>#REF!</v>
      </c>
      <c r="N20" s="47" t="e">
        <f>(#REF!/100)</f>
        <v>#REF!</v>
      </c>
      <c r="O20" s="58" t="e">
        <f>#REF!</f>
        <v>#REF!</v>
      </c>
      <c r="P20" s="64" t="e">
        <f>(#REF!/100)</f>
        <v>#REF!</v>
      </c>
    </row>
    <row r="21" spans="2:16" ht="16" thickBot="1" x14ac:dyDescent="0.25">
      <c r="B21" s="55" t="s">
        <v>136</v>
      </c>
      <c r="M21" s="47" t="e">
        <f>(#REF!/10)/(100/5.9)</f>
        <v>#REF!</v>
      </c>
      <c r="N21" s="47" t="e">
        <f>(#REF!/100)</f>
        <v>#REF!</v>
      </c>
      <c r="O21" s="58" t="e">
        <f>#REF!</f>
        <v>#REF!</v>
      </c>
      <c r="P21" s="64" t="e">
        <f>(#REF!/100)</f>
        <v>#REF!</v>
      </c>
    </row>
    <row r="22" spans="2:16" ht="16" thickBot="1" x14ac:dyDescent="0.25">
      <c r="B22" s="55"/>
      <c r="C22" s="56"/>
      <c r="D22" s="57"/>
      <c r="E22" s="58"/>
      <c r="F22" s="59"/>
      <c r="G22" s="60"/>
      <c r="H22" s="61"/>
      <c r="I22" s="62"/>
      <c r="J22" s="63"/>
      <c r="K22" s="58"/>
      <c r="L22" s="47" t="s">
        <v>145</v>
      </c>
      <c r="M22" s="47" t="e">
        <f>AVERAGE(M18:M21)</f>
        <v>#REF!</v>
      </c>
      <c r="N22" s="47"/>
      <c r="O22" s="58"/>
      <c r="P22" s="64"/>
    </row>
    <row r="23" spans="2:16" ht="16" thickBot="1" x14ac:dyDescent="0.25">
      <c r="B23" s="55"/>
      <c r="C23" s="56"/>
      <c r="D23" s="57"/>
      <c r="E23" s="58"/>
      <c r="F23" s="59"/>
      <c r="G23" s="60"/>
      <c r="H23" s="61"/>
      <c r="I23" s="62"/>
      <c r="J23" s="63"/>
      <c r="K23" s="58"/>
      <c r="L23" s="47" t="s">
        <v>146</v>
      </c>
      <c r="M23" s="48" t="e">
        <f>VARA(M18,M19,M20,M21)</f>
        <v>#REF!</v>
      </c>
      <c r="N23" s="47"/>
      <c r="O23" s="58"/>
      <c r="P23" s="64"/>
    </row>
    <row r="24" spans="2:16" ht="16" thickBot="1" x14ac:dyDescent="0.25">
      <c r="B24" s="55"/>
      <c r="C24" s="56"/>
      <c r="D24" s="57"/>
      <c r="E24" s="58"/>
      <c r="F24" s="59"/>
      <c r="G24" s="60"/>
      <c r="H24" s="61"/>
      <c r="I24" s="62"/>
      <c r="J24" s="63"/>
      <c r="K24" s="58"/>
      <c r="L24" s="47" t="s">
        <v>147</v>
      </c>
      <c r="M24" s="47" t="e">
        <f>SQRT(M23)</f>
        <v>#REF!</v>
      </c>
      <c r="N24" s="47"/>
      <c r="O24" s="58"/>
      <c r="P24" s="64"/>
    </row>
    <row r="25" spans="2:16" ht="16" thickBot="1" x14ac:dyDescent="0.25">
      <c r="B25" s="55" t="s">
        <v>139</v>
      </c>
      <c r="M25" s="47" t="e">
        <f>(#REF!/10)/(100/5.9)</f>
        <v>#REF!</v>
      </c>
      <c r="N25" s="47" t="e">
        <f>(#REF!/100)</f>
        <v>#REF!</v>
      </c>
      <c r="O25" s="58" t="e">
        <f>#REF!</f>
        <v>#REF!</v>
      </c>
      <c r="P25" s="64" t="e">
        <f>(#REF!/100)</f>
        <v>#REF!</v>
      </c>
    </row>
    <row r="26" spans="2:16" ht="16" thickBot="1" x14ac:dyDescent="0.25">
      <c r="B26" s="68" t="s">
        <v>140</v>
      </c>
      <c r="M26" s="70" t="e">
        <f>(#REF!/10)/(100/5.9)</f>
        <v>#REF!</v>
      </c>
      <c r="N26" s="70" t="e">
        <f>(#REF!/100)</f>
        <v>#REF!</v>
      </c>
      <c r="O26" s="69" t="e">
        <f>#REF!</f>
        <v>#REF!</v>
      </c>
      <c r="P26" s="71" t="e">
        <f>(#REF!/100)</f>
        <v>#REF!</v>
      </c>
    </row>
    <row r="27" spans="2:16" ht="16" thickBot="1" x14ac:dyDescent="0.25">
      <c r="B27" s="68" t="s">
        <v>141</v>
      </c>
      <c r="M27" s="70" t="e">
        <f>(#REF!/10)/(100/5.9)</f>
        <v>#REF!</v>
      </c>
      <c r="N27" s="70" t="e">
        <f>(#REF!/100)</f>
        <v>#REF!</v>
      </c>
      <c r="O27" s="69" t="e">
        <f>#REF!</f>
        <v>#REF!</v>
      </c>
      <c r="P27" s="71" t="e">
        <f>(#REF!/100)</f>
        <v>#REF!</v>
      </c>
    </row>
    <row r="28" spans="2:16" ht="16" thickBot="1" x14ac:dyDescent="0.25">
      <c r="B28" s="68" t="s">
        <v>142</v>
      </c>
      <c r="M28" s="70" t="e">
        <f>(#REF!/10)/(100/5.9)</f>
        <v>#REF!</v>
      </c>
      <c r="N28" s="70" t="e">
        <f>(#REF!/100)</f>
        <v>#REF!</v>
      </c>
      <c r="O28" s="69" t="e">
        <f>#REF!</f>
        <v>#REF!</v>
      </c>
      <c r="P28" s="71" t="e">
        <f>(#REF!/100)</f>
        <v>#REF!</v>
      </c>
    </row>
    <row r="29" spans="2:16" ht="16" thickBot="1" x14ac:dyDescent="0.25">
      <c r="B29" s="55"/>
      <c r="C29" s="56"/>
      <c r="D29" s="57"/>
      <c r="E29" s="58"/>
      <c r="F29" s="59"/>
      <c r="G29" s="60"/>
      <c r="H29" s="61"/>
      <c r="I29" s="62"/>
      <c r="J29" s="63"/>
      <c r="K29" s="58"/>
      <c r="L29" s="47" t="s">
        <v>145</v>
      </c>
      <c r="M29" s="47" t="e">
        <f>AVERAGE(M25:M28)</f>
        <v>#REF!</v>
      </c>
      <c r="N29" s="47"/>
      <c r="O29" s="58"/>
      <c r="P29" s="64"/>
    </row>
    <row r="30" spans="2:16" ht="16" thickBot="1" x14ac:dyDescent="0.25">
      <c r="B30" s="55"/>
      <c r="C30" s="56"/>
      <c r="D30" s="57"/>
      <c r="E30" s="58"/>
      <c r="F30" s="59"/>
      <c r="G30" s="60"/>
      <c r="H30" s="61"/>
      <c r="I30" s="62"/>
      <c r="J30" s="63"/>
      <c r="K30" s="58"/>
      <c r="L30" s="47" t="s">
        <v>146</v>
      </c>
      <c r="M30" s="48" t="e">
        <f>VARA(M25,M26,M27,M28)</f>
        <v>#REF!</v>
      </c>
      <c r="N30" s="47"/>
      <c r="O30" s="58"/>
      <c r="P30" s="64"/>
    </row>
    <row r="31" spans="2:16" ht="16" thickBot="1" x14ac:dyDescent="0.25">
      <c r="B31" s="55"/>
      <c r="C31" s="56"/>
      <c r="D31" s="57"/>
      <c r="E31" s="58"/>
      <c r="F31" s="59"/>
      <c r="G31" s="60"/>
      <c r="H31" s="61"/>
      <c r="I31" s="62"/>
      <c r="J31" s="63"/>
      <c r="K31" s="58"/>
      <c r="L31" s="47" t="s">
        <v>147</v>
      </c>
      <c r="M31" s="47" t="e">
        <f>SQRT(M30)</f>
        <v>#REF!</v>
      </c>
      <c r="N31" s="47"/>
      <c r="O31" s="58"/>
      <c r="P31" s="64"/>
    </row>
    <row r="32" spans="2:16" ht="16" thickBot="1" x14ac:dyDescent="0.25">
      <c r="B32" s="55" t="s">
        <v>124</v>
      </c>
      <c r="C32" s="56">
        <v>0.96382360397737832</v>
      </c>
      <c r="D32" s="57">
        <v>0.50928883252702628</v>
      </c>
      <c r="E32" s="65" t="s">
        <v>1</v>
      </c>
      <c r="F32" s="59">
        <v>3.0000000000000001E-3</v>
      </c>
      <c r="G32" s="60">
        <v>0.29389999999999999</v>
      </c>
      <c r="H32" s="61">
        <v>15</v>
      </c>
      <c r="I32" s="62">
        <f>(((((C32/1000)*H32)/G32)*1000))</f>
        <v>49.191405442874029</v>
      </c>
      <c r="J32" s="63">
        <f>(((((D32/1000)*H32)/G32)*1000))</f>
        <v>25.992965253165682</v>
      </c>
      <c r="K32" s="58" t="str">
        <f>E32</f>
        <v>&lt;</v>
      </c>
      <c r="L32" s="47">
        <f>(((((F32/1000)*H32)/G32)*1000))</f>
        <v>0.1531133038448452</v>
      </c>
      <c r="M32" s="47">
        <f>(I32/10)/(100/5.9)</f>
        <v>0.29022929211295684</v>
      </c>
      <c r="N32" s="47">
        <f>(J32/100)</f>
        <v>0.25992965253165684</v>
      </c>
      <c r="O32" s="58" t="str">
        <f>K32</f>
        <v>&lt;</v>
      </c>
      <c r="P32" s="64">
        <f>(L32/100)</f>
        <v>1.5311330384484519E-3</v>
      </c>
    </row>
    <row r="33" spans="2:16" ht="16" thickBot="1" x14ac:dyDescent="0.25">
      <c r="B33" s="55" t="s">
        <v>125</v>
      </c>
      <c r="M33" s="47" t="e">
        <f>(#REF!/10)/(100/5.9)</f>
        <v>#REF!</v>
      </c>
      <c r="N33" s="47" t="e">
        <f>(#REF!/100)</f>
        <v>#REF!</v>
      </c>
      <c r="O33" s="58" t="e">
        <f>#REF!</f>
        <v>#REF!</v>
      </c>
      <c r="P33" s="64" t="e">
        <f>(#REF!/100)</f>
        <v>#REF!</v>
      </c>
    </row>
    <row r="34" spans="2:16" ht="16" thickBot="1" x14ac:dyDescent="0.25">
      <c r="B34" s="55" t="s">
        <v>126</v>
      </c>
      <c r="M34" s="47" t="e">
        <f>(#REF!/10)/(100/5.9)</f>
        <v>#REF!</v>
      </c>
      <c r="N34" s="47" t="e">
        <f>(#REF!/100)</f>
        <v>#REF!</v>
      </c>
      <c r="O34" s="58"/>
      <c r="P34" s="64" t="e">
        <f>(#REF!/100)</f>
        <v>#REF!</v>
      </c>
    </row>
    <row r="35" spans="2:16" ht="16" thickBot="1" x14ac:dyDescent="0.25"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47" t="s">
        <v>145</v>
      </c>
      <c r="M35" s="47" t="e">
        <f>AVERAGE(M32:M34)</f>
        <v>#REF!</v>
      </c>
      <c r="N35" s="67"/>
      <c r="O35" s="67"/>
      <c r="P35" s="67"/>
    </row>
    <row r="36" spans="2:16" ht="16" thickBot="1" x14ac:dyDescent="0.25"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47" t="s">
        <v>146</v>
      </c>
      <c r="M36" s="48" t="e">
        <f>VARA(M32,M33,M34)</f>
        <v>#REF!</v>
      </c>
      <c r="N36" s="67"/>
      <c r="O36" s="67"/>
      <c r="P36" s="67"/>
    </row>
    <row r="37" spans="2:16" ht="16" thickBot="1" x14ac:dyDescent="0.25"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47" t="s">
        <v>147</v>
      </c>
      <c r="M37" s="47" t="e">
        <f>SQRT(M36)</f>
        <v>#REF!</v>
      </c>
      <c r="N37" s="67"/>
      <c r="O37" s="67"/>
      <c r="P37" s="67"/>
    </row>
    <row r="38" spans="2:16" ht="16" thickBot="1" x14ac:dyDescent="0.25">
      <c r="B38" s="55" t="s">
        <v>130</v>
      </c>
      <c r="C38" s="56">
        <v>0.85902001017314433</v>
      </c>
      <c r="D38" s="57">
        <v>0.57963754870824291</v>
      </c>
      <c r="E38" s="66" t="s">
        <v>1</v>
      </c>
      <c r="F38" s="59">
        <v>3.0000000000000001E-3</v>
      </c>
      <c r="G38" s="60">
        <v>0.26469999999999999</v>
      </c>
      <c r="H38" s="61">
        <v>15</v>
      </c>
      <c r="I38" s="62">
        <f>(((((C38/1000)*H38)/G38)*1000))</f>
        <v>48.678882329418833</v>
      </c>
      <c r="J38" s="63">
        <f>(((((D38/1000)*H38)/G38)*1000))</f>
        <v>32.84685769030466</v>
      </c>
      <c r="K38" s="58" t="str">
        <f>E38</f>
        <v>&lt;</v>
      </c>
      <c r="L38" s="47">
        <f>(((((F38/1000)*H38)/G38)*1000))</f>
        <v>0.17000377786173027</v>
      </c>
      <c r="M38" s="47">
        <f>(I38/10)/(100/5.9)</f>
        <v>0.28720540574357117</v>
      </c>
      <c r="N38" s="47">
        <f>(J38/100)</f>
        <v>0.32846857690304659</v>
      </c>
      <c r="O38" s="58" t="str">
        <f>K38</f>
        <v>&lt;</v>
      </c>
      <c r="P38" s="64">
        <f>(L38/100)</f>
        <v>1.7000377786173027E-3</v>
      </c>
    </row>
    <row r="39" spans="2:16" ht="16" thickBot="1" x14ac:dyDescent="0.25">
      <c r="B39" s="68" t="s">
        <v>131</v>
      </c>
      <c r="M39" s="70" t="e">
        <f>(#REF!/10)/(100/5.9)</f>
        <v>#REF!</v>
      </c>
      <c r="N39" s="70" t="e">
        <f>(#REF!/100)</f>
        <v>#REF!</v>
      </c>
      <c r="O39" s="69" t="e">
        <f>#REF!</f>
        <v>#REF!</v>
      </c>
      <c r="P39" s="71" t="e">
        <f>(#REF!/100)</f>
        <v>#REF!</v>
      </c>
    </row>
    <row r="40" spans="2:16" ht="16" thickBot="1" x14ac:dyDescent="0.25">
      <c r="B40" s="68" t="s">
        <v>132</v>
      </c>
      <c r="M40" s="70" t="e">
        <f>(#REF!/10)/(100/5.9)</f>
        <v>#REF!</v>
      </c>
      <c r="N40" s="70" t="e">
        <f>(#REF!/100)</f>
        <v>#REF!</v>
      </c>
      <c r="O40" s="69" t="e">
        <f>#REF!</f>
        <v>#REF!</v>
      </c>
      <c r="P40" s="71" t="e">
        <f>(#REF!/100)</f>
        <v>#REF!</v>
      </c>
    </row>
    <row r="41" spans="2:16" ht="16" thickBot="1" x14ac:dyDescent="0.25"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47" t="s">
        <v>145</v>
      </c>
      <c r="M41" s="47" t="e">
        <f>AVERAGE(M38:M40)</f>
        <v>#REF!</v>
      </c>
      <c r="N41" s="67"/>
      <c r="O41" s="67"/>
      <c r="P41" s="67"/>
    </row>
    <row r="42" spans="2:16" ht="16" thickBot="1" x14ac:dyDescent="0.25"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47" t="s">
        <v>146</v>
      </c>
      <c r="M42" s="48" t="e">
        <f>VARA(M38,M39,M40)</f>
        <v>#REF!</v>
      </c>
      <c r="N42" s="67"/>
      <c r="O42" s="67"/>
      <c r="P42" s="67"/>
    </row>
    <row r="43" spans="2:16" ht="16" thickBot="1" x14ac:dyDescent="0.25"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47" t="s">
        <v>147</v>
      </c>
      <c r="M43" s="47" t="e">
        <f>SQRT(M42)</f>
        <v>#REF!</v>
      </c>
      <c r="N43" s="67"/>
      <c r="O43" s="67"/>
      <c r="P43" s="67"/>
    </row>
    <row r="44" spans="2:16" ht="16" thickBot="1" x14ac:dyDescent="0.25">
      <c r="B44" s="55" t="s">
        <v>136</v>
      </c>
      <c r="C44" s="56">
        <v>0.9531609580594983</v>
      </c>
      <c r="D44" s="57">
        <v>0.49980221869151525</v>
      </c>
      <c r="E44" s="58" t="s">
        <v>1</v>
      </c>
      <c r="F44" s="59">
        <v>3.0000000000000001E-3</v>
      </c>
      <c r="G44" s="60">
        <v>0.26819999999999999</v>
      </c>
      <c r="H44" s="61">
        <v>15</v>
      </c>
      <c r="I44" s="62">
        <f>(((((C44/1000)*H44)/G44)*1000))</f>
        <v>53.308778414960756</v>
      </c>
      <c r="J44" s="63">
        <f>(((((D44/1000)*H44)/G44)*1000))</f>
        <v>27.953144222120539</v>
      </c>
      <c r="K44" s="58" t="str">
        <f>E44</f>
        <v>&lt;</v>
      </c>
      <c r="L44" s="47">
        <f>(((((F44/1000)*H44)/G44)*1000))</f>
        <v>0.16778523489932887</v>
      </c>
      <c r="M44" s="47">
        <f>(I44/10)/(100/5.9)</f>
        <v>0.31452179264826852</v>
      </c>
      <c r="N44" s="47">
        <f>(J44/100)</f>
        <v>0.27953144222120541</v>
      </c>
      <c r="O44" s="58" t="str">
        <f>K44</f>
        <v>&lt;</v>
      </c>
      <c r="P44" s="64">
        <f>(L44/100)</f>
        <v>1.6778523489932888E-3</v>
      </c>
    </row>
    <row r="45" spans="2:16" ht="16" thickBot="1" x14ac:dyDescent="0.25">
      <c r="B45" s="55" t="s">
        <v>137</v>
      </c>
      <c r="M45" s="47" t="e">
        <f>(#REF!/10)/(100/5.9)</f>
        <v>#REF!</v>
      </c>
      <c r="N45" s="47" t="e">
        <f>(#REF!/100)</f>
        <v>#REF!</v>
      </c>
      <c r="O45" s="58" t="e">
        <f>#REF!</f>
        <v>#REF!</v>
      </c>
      <c r="P45" s="64" t="e">
        <f>(#REF!/100)</f>
        <v>#REF!</v>
      </c>
    </row>
    <row r="46" spans="2:16" ht="16" thickBot="1" x14ac:dyDescent="0.25">
      <c r="B46" s="55" t="s">
        <v>138</v>
      </c>
      <c r="M46" s="47" t="e">
        <f>(#REF!/10)/(100/5.9)</f>
        <v>#REF!</v>
      </c>
      <c r="N46" s="47" t="e">
        <f>(#REF!/100)</f>
        <v>#REF!</v>
      </c>
      <c r="O46" s="58" t="e">
        <f>#REF!</f>
        <v>#REF!</v>
      </c>
      <c r="P46" s="64" t="e">
        <f>(#REF!/100)</f>
        <v>#REF!</v>
      </c>
    </row>
    <row r="47" spans="2:16" ht="16" thickBot="1" x14ac:dyDescent="0.25"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47" t="s">
        <v>145</v>
      </c>
      <c r="M47" s="47" t="e">
        <f>AVERAGE(M44:M46)</f>
        <v>#REF!</v>
      </c>
      <c r="N47" s="67"/>
      <c r="O47" s="67"/>
      <c r="P47" s="67"/>
    </row>
    <row r="48" spans="2:16" ht="16" thickBot="1" x14ac:dyDescent="0.25"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47" t="s">
        <v>146</v>
      </c>
      <c r="M48" s="48" t="e">
        <f>VARA(M44,M45,M46)</f>
        <v>#REF!</v>
      </c>
      <c r="N48" s="67"/>
      <c r="O48" s="67"/>
      <c r="P48" s="67"/>
    </row>
    <row r="49" spans="2:16" ht="16" thickBot="1" x14ac:dyDescent="0.25"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47" t="s">
        <v>147</v>
      </c>
      <c r="M49" s="47" t="e">
        <f>SQRT(M48)</f>
        <v>#REF!</v>
      </c>
      <c r="N49" s="67"/>
      <c r="O49" s="67"/>
      <c r="P49" s="67"/>
    </row>
    <row r="50" spans="2:16" ht="16" thickBot="1" x14ac:dyDescent="0.25">
      <c r="B50" s="55" t="s">
        <v>142</v>
      </c>
      <c r="C50" s="58">
        <v>1.0404021566279897</v>
      </c>
      <c r="D50" s="57">
        <v>0.6027552246247404</v>
      </c>
      <c r="E50" s="58" t="s">
        <v>1</v>
      </c>
      <c r="F50" s="59">
        <v>3.0000000000000001E-3</v>
      </c>
      <c r="G50" s="60">
        <v>0.27229999999999999</v>
      </c>
      <c r="H50" s="61">
        <v>15</v>
      </c>
      <c r="I50" s="62">
        <f>(((((C50/1000)*H50)/G50)*1000))</f>
        <v>57.31190726926129</v>
      </c>
      <c r="J50" s="63">
        <f>(((((D50/1000)*H50)/G50)*1000))</f>
        <v>33.203556259166753</v>
      </c>
      <c r="K50" s="58" t="str">
        <f>E50</f>
        <v>&lt;</v>
      </c>
      <c r="L50" s="47">
        <f>(((((F50/1000)*H50)/G50)*1000))</f>
        <v>0.16525890561880283</v>
      </c>
      <c r="M50" s="47">
        <f>(I50/10)/(100/5.9)</f>
        <v>0.33814025288864163</v>
      </c>
      <c r="N50" s="47">
        <f>(J50/100)</f>
        <v>0.33203556259166755</v>
      </c>
      <c r="O50" s="58" t="str">
        <f>K50</f>
        <v>&lt;</v>
      </c>
      <c r="P50" s="64">
        <f>(L50/100)</f>
        <v>1.6525890561880283E-3</v>
      </c>
    </row>
    <row r="51" spans="2:16" ht="16" thickBot="1" x14ac:dyDescent="0.25">
      <c r="B51" s="68" t="s">
        <v>143</v>
      </c>
      <c r="M51" s="70" t="e">
        <f>(#REF!/10)/(100/5.9)</f>
        <v>#REF!</v>
      </c>
      <c r="N51" s="70" t="e">
        <f>(#REF!/100)</f>
        <v>#REF!</v>
      </c>
      <c r="O51" s="69" t="e">
        <f>#REF!</f>
        <v>#REF!</v>
      </c>
      <c r="P51" s="71" t="e">
        <f>(#REF!/100)</f>
        <v>#REF!</v>
      </c>
    </row>
    <row r="52" spans="2:16" ht="16" thickBot="1" x14ac:dyDescent="0.25">
      <c r="B52" s="68" t="s">
        <v>144</v>
      </c>
      <c r="M52" s="70" t="e">
        <f>(#REF!/10)/(100/5.9)</f>
        <v>#REF!</v>
      </c>
      <c r="N52" s="70" t="e">
        <f>(#REF!/100)</f>
        <v>#REF!</v>
      </c>
      <c r="O52" s="69" t="e">
        <f>#REF!</f>
        <v>#REF!</v>
      </c>
      <c r="P52" s="71" t="e">
        <f>(#REF!/100)</f>
        <v>#REF!</v>
      </c>
    </row>
    <row r="53" spans="2:16" ht="16" thickBot="1" x14ac:dyDescent="0.2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47" t="s">
        <v>145</v>
      </c>
      <c r="M53" s="47" t="e">
        <f>AVERAGE(M50:M52)</f>
        <v>#REF!</v>
      </c>
      <c r="N53" s="23"/>
      <c r="O53" s="23"/>
      <c r="P53" s="23"/>
    </row>
    <row r="54" spans="2:16" ht="16" thickBot="1" x14ac:dyDescent="0.2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47" t="s">
        <v>146</v>
      </c>
      <c r="M54" s="48" t="e">
        <f>VARA(M50,M51,M52)</f>
        <v>#REF!</v>
      </c>
      <c r="N54" s="23"/>
      <c r="O54" s="23"/>
      <c r="P54" s="23"/>
    </row>
    <row r="55" spans="2:16" ht="16" thickBot="1" x14ac:dyDescent="0.2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47" t="s">
        <v>147</v>
      </c>
      <c r="M55" s="47" t="e">
        <f>SQRT(M54)</f>
        <v>#REF!</v>
      </c>
      <c r="N55" s="23"/>
      <c r="O55" s="23"/>
      <c r="P55" s="23"/>
    </row>
  </sheetData>
  <mergeCells count="3">
    <mergeCell ref="E3:F3"/>
    <mergeCell ref="K3:L3"/>
    <mergeCell ref="O3:P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24"/>
  <sheetViews>
    <sheetView workbookViewId="0">
      <selection activeCell="G4" sqref="G4"/>
    </sheetView>
  </sheetViews>
  <sheetFormatPr baseColWidth="10" defaultRowHeight="15" x14ac:dyDescent="0.2"/>
  <cols>
    <col min="6" max="6" width="12.33203125" bestFit="1" customWidth="1"/>
  </cols>
  <sheetData>
    <row r="2" spans="2:16" ht="16" thickBot="1" x14ac:dyDescent="0.25"/>
    <row r="3" spans="2:16" ht="63" thickBot="1" x14ac:dyDescent="0.25">
      <c r="B3" s="31" t="s">
        <v>13</v>
      </c>
      <c r="C3" s="31" t="s">
        <v>14</v>
      </c>
      <c r="D3" s="31" t="s">
        <v>15</v>
      </c>
      <c r="E3" s="85" t="s">
        <v>16</v>
      </c>
      <c r="F3" s="85"/>
      <c r="G3" s="31" t="s">
        <v>17</v>
      </c>
      <c r="H3" s="31" t="s">
        <v>18</v>
      </c>
      <c r="I3" s="31" t="s">
        <v>19</v>
      </c>
      <c r="J3" s="31" t="s">
        <v>20</v>
      </c>
      <c r="K3" s="85" t="s">
        <v>21</v>
      </c>
      <c r="L3" s="85"/>
      <c r="M3" s="31" t="s">
        <v>22</v>
      </c>
      <c r="N3" s="31" t="s">
        <v>23</v>
      </c>
      <c r="O3" s="85" t="s">
        <v>24</v>
      </c>
      <c r="P3" s="85"/>
    </row>
    <row r="4" spans="2:16" ht="19" thickBot="1" x14ac:dyDescent="0.25">
      <c r="B4" s="32" t="s">
        <v>49</v>
      </c>
    </row>
    <row r="5" spans="2:16" ht="19" thickBot="1" x14ac:dyDescent="0.25">
      <c r="B5" s="42" t="s">
        <v>52</v>
      </c>
    </row>
    <row r="6" spans="2:16" ht="19" thickBot="1" x14ac:dyDescent="0.25">
      <c r="B6" s="32" t="s">
        <v>55</v>
      </c>
    </row>
    <row r="7" spans="2:16" ht="19" thickBot="1" x14ac:dyDescent="0.25">
      <c r="B7" s="42" t="s">
        <v>58</v>
      </c>
    </row>
    <row r="8" spans="2:16" ht="19" thickBot="1" x14ac:dyDescent="0.25">
      <c r="B8" s="32"/>
      <c r="C8" s="33"/>
      <c r="D8" s="34"/>
      <c r="E8" s="45"/>
      <c r="F8" s="35"/>
      <c r="G8" s="36"/>
      <c r="H8" s="37"/>
      <c r="I8" s="38"/>
      <c r="J8" s="39"/>
      <c r="K8" s="33"/>
      <c r="L8" s="40" t="s">
        <v>145</v>
      </c>
      <c r="N8" s="40"/>
      <c r="O8" s="33"/>
      <c r="P8" s="41"/>
    </row>
    <row r="9" spans="2:16" ht="19" thickBot="1" x14ac:dyDescent="0.25">
      <c r="B9" s="32"/>
      <c r="C9" s="33"/>
      <c r="D9" s="34"/>
      <c r="E9" s="45"/>
      <c r="F9" s="35"/>
      <c r="G9" s="36"/>
      <c r="H9" s="37"/>
      <c r="I9" s="38"/>
      <c r="J9" s="39"/>
      <c r="K9" s="33"/>
      <c r="L9" s="40" t="s">
        <v>146</v>
      </c>
      <c r="N9" s="40"/>
      <c r="O9" s="33"/>
      <c r="P9" s="41"/>
    </row>
    <row r="10" spans="2:16" ht="19" thickBot="1" x14ac:dyDescent="0.25">
      <c r="B10" s="32"/>
      <c r="C10" s="33"/>
      <c r="D10" s="34"/>
      <c r="E10" s="45"/>
      <c r="F10" s="35"/>
      <c r="G10" s="36"/>
      <c r="H10" s="37"/>
      <c r="I10" s="38"/>
      <c r="J10" s="39"/>
      <c r="K10" s="33"/>
      <c r="L10" s="40" t="s">
        <v>147</v>
      </c>
      <c r="N10" s="40"/>
      <c r="O10" s="33"/>
      <c r="P10" s="41"/>
    </row>
    <row r="11" spans="2:16" ht="19" thickBot="1" x14ac:dyDescent="0.25">
      <c r="B11" s="43" t="s">
        <v>50</v>
      </c>
    </row>
    <row r="12" spans="2:16" ht="19" thickBot="1" x14ac:dyDescent="0.25">
      <c r="B12" s="43" t="s">
        <v>53</v>
      </c>
    </row>
    <row r="13" spans="2:16" ht="19" thickBot="1" x14ac:dyDescent="0.25">
      <c r="B13" s="43" t="s">
        <v>56</v>
      </c>
    </row>
    <row r="14" spans="2:16" ht="19" thickBot="1" x14ac:dyDescent="0.25">
      <c r="B14" s="43" t="s">
        <v>59</v>
      </c>
    </row>
    <row r="15" spans="2:16" ht="19" thickBot="1" x14ac:dyDescent="0.25">
      <c r="B15" s="32"/>
      <c r="C15" s="46"/>
      <c r="D15" s="34"/>
      <c r="E15" s="33"/>
      <c r="F15" s="35"/>
      <c r="G15" s="36"/>
      <c r="H15" s="37"/>
      <c r="I15" s="38"/>
      <c r="J15" s="39"/>
      <c r="K15" s="33"/>
      <c r="L15" s="40" t="s">
        <v>145</v>
      </c>
      <c r="N15" s="40"/>
      <c r="O15" s="33"/>
      <c r="P15" s="41"/>
    </row>
    <row r="16" spans="2:16" ht="19" thickBot="1" x14ac:dyDescent="0.25">
      <c r="B16" s="32"/>
      <c r="C16" s="46"/>
      <c r="D16" s="34"/>
      <c r="E16" s="33"/>
      <c r="F16" s="35"/>
      <c r="G16" s="36"/>
      <c r="H16" s="37"/>
      <c r="I16" s="38"/>
      <c r="J16" s="39"/>
      <c r="K16" s="33"/>
      <c r="L16" s="40" t="s">
        <v>146</v>
      </c>
      <c r="N16" s="40"/>
      <c r="O16" s="33"/>
      <c r="P16" s="41"/>
    </row>
    <row r="17" spans="2:16" ht="19" thickBot="1" x14ac:dyDescent="0.25">
      <c r="B17" s="32"/>
      <c r="C17" s="46"/>
      <c r="D17" s="34"/>
      <c r="E17" s="33"/>
      <c r="F17" s="35"/>
      <c r="G17" s="36"/>
      <c r="H17" s="37"/>
      <c r="I17" s="38"/>
      <c r="J17" s="39"/>
      <c r="K17" s="33"/>
      <c r="L17" s="40" t="s">
        <v>147</v>
      </c>
      <c r="N17" s="40"/>
      <c r="O17" s="33"/>
      <c r="P17" s="41"/>
    </row>
    <row r="18" spans="2:16" ht="19" thickBot="1" x14ac:dyDescent="0.25">
      <c r="B18" s="32" t="s">
        <v>51</v>
      </c>
    </row>
    <row r="19" spans="2:16" ht="19" thickBot="1" x14ac:dyDescent="0.25">
      <c r="B19" s="42" t="s">
        <v>54</v>
      </c>
    </row>
    <row r="20" spans="2:16" ht="19" thickBot="1" x14ac:dyDescent="0.25">
      <c r="B20" s="32" t="s">
        <v>57</v>
      </c>
    </row>
    <row r="21" spans="2:16" ht="19" thickBot="1" x14ac:dyDescent="0.25">
      <c r="B21" s="42" t="s">
        <v>60</v>
      </c>
    </row>
    <row r="22" spans="2:16" ht="19" thickBot="1" x14ac:dyDescent="0.25">
      <c r="L22" s="40" t="s">
        <v>145</v>
      </c>
    </row>
    <row r="23" spans="2:16" ht="19" thickBot="1" x14ac:dyDescent="0.25">
      <c r="L23" s="40" t="s">
        <v>146</v>
      </c>
    </row>
    <row r="24" spans="2:16" ht="19" thickBot="1" x14ac:dyDescent="0.25">
      <c r="L24" s="40" t="s">
        <v>147</v>
      </c>
    </row>
  </sheetData>
  <mergeCells count="3">
    <mergeCell ref="E3:F3"/>
    <mergeCell ref="K3:L3"/>
    <mergeCell ref="O3:P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9FFC-839A-E94D-8D50-B48FBE78F1A8}">
  <dimension ref="A1:F37"/>
  <sheetViews>
    <sheetView tabSelected="1" workbookViewId="0">
      <selection activeCell="I6" sqref="I6"/>
    </sheetView>
  </sheetViews>
  <sheetFormatPr baseColWidth="10" defaultRowHeight="15" x14ac:dyDescent="0.2"/>
  <cols>
    <col min="1" max="1" width="18.33203125" bestFit="1" customWidth="1"/>
    <col min="2" max="2" width="11.6640625" bestFit="1" customWidth="1"/>
    <col min="3" max="3" width="12.1640625" bestFit="1" customWidth="1"/>
    <col min="4" max="4" width="14" bestFit="1" customWidth="1"/>
    <col min="5" max="5" width="12.1640625" bestFit="1" customWidth="1"/>
    <col min="6" max="6" width="13.83203125" bestFit="1" customWidth="1"/>
  </cols>
  <sheetData>
    <row r="1" spans="1:6" x14ac:dyDescent="0.2">
      <c r="A1" t="s">
        <v>152</v>
      </c>
      <c r="B1" t="s">
        <v>301</v>
      </c>
      <c r="C1" t="s">
        <v>297</v>
      </c>
      <c r="D1" t="s">
        <v>298</v>
      </c>
      <c r="E1" t="s">
        <v>299</v>
      </c>
      <c r="F1" t="s">
        <v>300</v>
      </c>
    </row>
    <row r="2" spans="1:6" x14ac:dyDescent="0.2">
      <c r="A2" t="s">
        <v>149</v>
      </c>
      <c r="B2">
        <v>0</v>
      </c>
      <c r="C2">
        <v>0.20081210736068139</v>
      </c>
      <c r="D2">
        <v>29.148047155938482</v>
      </c>
      <c r="E2">
        <v>0.504227589151101</v>
      </c>
      <c r="F2">
        <v>55.027660443195913</v>
      </c>
    </row>
    <row r="3" spans="1:6" x14ac:dyDescent="0.2">
      <c r="B3">
        <v>0</v>
      </c>
      <c r="C3">
        <v>0.36615938336484655</v>
      </c>
      <c r="D3">
        <v>47.173188903300385</v>
      </c>
      <c r="E3">
        <v>0.69701416976366115</v>
      </c>
      <c r="F3">
        <v>64.439340687095466</v>
      </c>
    </row>
    <row r="4" spans="1:6" x14ac:dyDescent="0.2">
      <c r="B4">
        <v>0</v>
      </c>
      <c r="C4">
        <v>0.22859116205522126</v>
      </c>
      <c r="D4">
        <v>30.156293119612183</v>
      </c>
      <c r="E4">
        <v>0.50614878015680498</v>
      </c>
      <c r="F4">
        <v>55.76047988507635</v>
      </c>
    </row>
    <row r="5" spans="1:6" x14ac:dyDescent="0.2">
      <c r="B5">
        <v>0</v>
      </c>
      <c r="C5">
        <v>0.27747272785751548</v>
      </c>
      <c r="D5">
        <v>33.726545820298227</v>
      </c>
      <c r="E5">
        <v>0.56143647767833882</v>
      </c>
      <c r="F5">
        <v>57.135349833689112</v>
      </c>
    </row>
    <row r="6" spans="1:6" x14ac:dyDescent="0.2">
      <c r="A6" t="s">
        <v>159</v>
      </c>
      <c r="B6">
        <v>0.2</v>
      </c>
      <c r="C6">
        <v>0.24913010526358223</v>
      </c>
      <c r="D6">
        <v>36.255734083022588</v>
      </c>
      <c r="E6">
        <v>0.66897272863230783</v>
      </c>
      <c r="F6">
        <v>73.051079976589449</v>
      </c>
    </row>
    <row r="7" spans="1:6" x14ac:dyDescent="0.2">
      <c r="B7">
        <v>0.2</v>
      </c>
      <c r="C7">
        <v>0.21136061014304816</v>
      </c>
      <c r="D7">
        <v>27.434069247359687</v>
      </c>
      <c r="E7">
        <v>0.70431674301848801</v>
      </c>
      <c r="F7">
        <v>74.861426574699649</v>
      </c>
    </row>
    <row r="8" spans="1:6" x14ac:dyDescent="0.2">
      <c r="B8">
        <v>0.2</v>
      </c>
      <c r="C8">
        <v>0.20385107686697804</v>
      </c>
      <c r="D8">
        <v>30.77268919247695</v>
      </c>
      <c r="E8">
        <v>0.76170741770728601</v>
      </c>
      <c r="F8">
        <v>74.798531341967106</v>
      </c>
    </row>
    <row r="9" spans="1:6" x14ac:dyDescent="0.2">
      <c r="B9">
        <v>0.2</v>
      </c>
      <c r="C9">
        <v>0.18440039163418454</v>
      </c>
      <c r="D9">
        <v>27.294862666097444</v>
      </c>
      <c r="E9">
        <v>0.71231041074488533</v>
      </c>
      <c r="F9">
        <v>80.022500159719385</v>
      </c>
    </row>
    <row r="10" spans="1:6" x14ac:dyDescent="0.2">
      <c r="A10" t="s">
        <v>159</v>
      </c>
      <c r="B10">
        <v>0.3</v>
      </c>
      <c r="C10">
        <v>0.19969505462648976</v>
      </c>
      <c r="D10">
        <v>33.616575775376489</v>
      </c>
      <c r="E10">
        <v>0.54982826636870619</v>
      </c>
      <c r="F10">
        <v>71.046448434602382</v>
      </c>
    </row>
    <row r="11" spans="1:6" x14ac:dyDescent="0.2">
      <c r="B11">
        <v>0.3</v>
      </c>
      <c r="C11">
        <v>0.24305990882842235</v>
      </c>
      <c r="D11">
        <v>32.204466439186895</v>
      </c>
      <c r="E11">
        <v>0.65277050374320378</v>
      </c>
      <c r="F11">
        <v>69.157291302400523</v>
      </c>
    </row>
    <row r="12" spans="1:6" x14ac:dyDescent="0.2">
      <c r="B12">
        <v>0.3</v>
      </c>
      <c r="C12">
        <v>0.2025478995313186</v>
      </c>
      <c r="D12">
        <v>31.96753036494572</v>
      </c>
      <c r="E12">
        <v>0.79582579085587257</v>
      </c>
      <c r="F12">
        <v>95.162206274979994</v>
      </c>
    </row>
    <row r="13" spans="1:6" x14ac:dyDescent="0.2">
      <c r="B13">
        <v>0.3</v>
      </c>
      <c r="C13">
        <v>0.23658013715961326</v>
      </c>
      <c r="D13">
        <v>29.263164474046171</v>
      </c>
      <c r="E13">
        <v>0.89581096591526077</v>
      </c>
      <c r="F13">
        <v>89.673884001550618</v>
      </c>
    </row>
    <row r="14" spans="1:6" x14ac:dyDescent="0.2">
      <c r="A14" t="s">
        <v>159</v>
      </c>
      <c r="B14">
        <v>0.4</v>
      </c>
      <c r="C14">
        <v>0.20250896843961264</v>
      </c>
      <c r="D14">
        <v>29.688902231273239</v>
      </c>
      <c r="E14">
        <v>0.83206562306086229</v>
      </c>
      <c r="F14">
        <v>85.221273668457101</v>
      </c>
    </row>
    <row r="15" spans="1:6" x14ac:dyDescent="0.2">
      <c r="B15">
        <v>0.4</v>
      </c>
      <c r="C15">
        <v>0.41256555406363782</v>
      </c>
      <c r="D15">
        <v>33.836068126785101</v>
      </c>
      <c r="E15">
        <v>0.81294816792836266</v>
      </c>
      <c r="F15">
        <v>95.699375399036896</v>
      </c>
    </row>
    <row r="16" spans="1:6" x14ac:dyDescent="0.2">
      <c r="B16">
        <v>0.4</v>
      </c>
      <c r="C16">
        <v>0.23288793303745481</v>
      </c>
      <c r="D16">
        <v>36.009740283435875</v>
      </c>
      <c r="E16">
        <v>0.85759819473758048</v>
      </c>
      <c r="F16">
        <v>97.019975038727722</v>
      </c>
    </row>
    <row r="17" spans="1:6" x14ac:dyDescent="0.2">
      <c r="B17">
        <v>0.4</v>
      </c>
      <c r="C17">
        <v>0.25661561279627554</v>
      </c>
      <c r="D17">
        <v>34.842409440646961</v>
      </c>
      <c r="E17">
        <v>0.89885273463807225</v>
      </c>
      <c r="F17">
        <v>91.759576230193986</v>
      </c>
    </row>
    <row r="18" spans="1:6" x14ac:dyDescent="0.2">
      <c r="A18" t="s">
        <v>159</v>
      </c>
      <c r="B18">
        <v>0.6</v>
      </c>
      <c r="C18">
        <v>0.37036762854060168</v>
      </c>
      <c r="D18">
        <v>29.685499265960296</v>
      </c>
      <c r="E18">
        <v>0.92989459362020999</v>
      </c>
      <c r="F18">
        <v>99.35955207060573</v>
      </c>
    </row>
    <row r="19" spans="1:6" x14ac:dyDescent="0.2">
      <c r="B19">
        <v>0.6</v>
      </c>
      <c r="C19">
        <v>0.23798772590074896</v>
      </c>
      <c r="D19">
        <v>29.945036683468206</v>
      </c>
      <c r="E19">
        <v>0.88489847752490713</v>
      </c>
      <c r="F19">
        <v>102.93375116340911</v>
      </c>
    </row>
    <row r="20" spans="1:6" x14ac:dyDescent="0.2">
      <c r="B20">
        <v>0.6</v>
      </c>
      <c r="C20">
        <v>0.19833759591844652</v>
      </c>
      <c r="D20">
        <v>24.935251334074451</v>
      </c>
      <c r="E20">
        <v>0.88409637426838406</v>
      </c>
      <c r="F20">
        <v>107.65501649420166</v>
      </c>
    </row>
    <row r="21" spans="1:6" x14ac:dyDescent="0.2">
      <c r="B21">
        <v>0.6</v>
      </c>
      <c r="C21">
        <v>0.19028467842830077</v>
      </c>
      <c r="D21">
        <v>28.198340418403763</v>
      </c>
      <c r="E21">
        <v>0.89547361018744598</v>
      </c>
      <c r="F21">
        <v>103.0027213623096</v>
      </c>
    </row>
    <row r="22" spans="1:6" x14ac:dyDescent="0.2">
      <c r="A22" t="s">
        <v>296</v>
      </c>
      <c r="B22">
        <v>0.2</v>
      </c>
      <c r="C22">
        <v>0.20185247775161824</v>
      </c>
      <c r="D22">
        <v>26.944667243426874</v>
      </c>
      <c r="E22">
        <v>0.56205506585429921</v>
      </c>
      <c r="F22">
        <v>64.563682984231079</v>
      </c>
    </row>
    <row r="23" spans="1:6" x14ac:dyDescent="0.2">
      <c r="B23">
        <v>0.2</v>
      </c>
      <c r="C23">
        <v>0.19431040051480078</v>
      </c>
      <c r="D23">
        <v>28.984655903348461</v>
      </c>
      <c r="E23">
        <v>0.55443748575426433</v>
      </c>
      <c r="F23">
        <v>64.822379003718964</v>
      </c>
    </row>
    <row r="24" spans="1:6" x14ac:dyDescent="0.2">
      <c r="B24">
        <v>0.2</v>
      </c>
      <c r="C24">
        <v>0.2053958096651928</v>
      </c>
      <c r="D24">
        <v>32.71017602012752</v>
      </c>
      <c r="E24">
        <v>0.80114563117314119</v>
      </c>
      <c r="F24">
        <v>85.319740660025673</v>
      </c>
    </row>
    <row r="25" spans="1:6" x14ac:dyDescent="0.2">
      <c r="B25">
        <v>0.2</v>
      </c>
      <c r="C25">
        <v>0.18150530469260043</v>
      </c>
      <c r="D25">
        <v>28.408931263295091</v>
      </c>
      <c r="E25">
        <v>0.78459355110110351</v>
      </c>
      <c r="F25">
        <v>89.46050134421364</v>
      </c>
    </row>
    <row r="26" spans="1:6" x14ac:dyDescent="0.2">
      <c r="A26" t="s">
        <v>296</v>
      </c>
      <c r="B26">
        <v>0.3</v>
      </c>
      <c r="C26">
        <v>0.21512409885641326</v>
      </c>
      <c r="D26">
        <v>27.130164351442442</v>
      </c>
      <c r="E26">
        <v>0.96389222664519536</v>
      </c>
      <c r="F26">
        <v>98.823344664329952</v>
      </c>
    </row>
    <row r="27" spans="1:6" x14ac:dyDescent="0.2">
      <c r="B27">
        <v>0.3</v>
      </c>
      <c r="C27">
        <v>0.21299801585030625</v>
      </c>
      <c r="D27">
        <v>26.952338934245635</v>
      </c>
      <c r="E27">
        <v>0.82547527190355252</v>
      </c>
      <c r="F27">
        <v>81.313593890522327</v>
      </c>
    </row>
    <row r="28" spans="1:6" x14ac:dyDescent="0.2">
      <c r="B28">
        <v>0.3</v>
      </c>
      <c r="C28">
        <v>0.25668966845541419</v>
      </c>
      <c r="D28">
        <v>34.489520839375665</v>
      </c>
      <c r="E28">
        <v>1.0008414609384158</v>
      </c>
      <c r="F28">
        <v>78.203761041939401</v>
      </c>
    </row>
    <row r="29" spans="1:6" x14ac:dyDescent="0.2">
      <c r="B29">
        <v>0.3</v>
      </c>
      <c r="C29">
        <v>0.25432506546664141</v>
      </c>
      <c r="D29">
        <v>41.3680608464702</v>
      </c>
      <c r="E29">
        <v>0.8210782884154032</v>
      </c>
      <c r="F29">
        <v>84.894469716805347</v>
      </c>
    </row>
    <row r="30" spans="1:6" x14ac:dyDescent="0.2">
      <c r="A30" t="s">
        <v>296</v>
      </c>
      <c r="B30">
        <v>0.4</v>
      </c>
      <c r="C30">
        <v>0.18729984417351783</v>
      </c>
      <c r="D30">
        <v>27.646353903360403</v>
      </c>
      <c r="E30">
        <v>0.77624263567998963</v>
      </c>
      <c r="F30">
        <v>83.751664034247725</v>
      </c>
    </row>
    <row r="31" spans="1:6" x14ac:dyDescent="0.2">
      <c r="B31">
        <v>0.4</v>
      </c>
      <c r="C31">
        <v>0.25016583747764187</v>
      </c>
      <c r="D31">
        <v>39.212518690953331</v>
      </c>
      <c r="E31">
        <v>1.0622110098818947</v>
      </c>
      <c r="F31">
        <v>80.108422624799672</v>
      </c>
    </row>
    <row r="32" spans="1:6" x14ac:dyDescent="0.2">
      <c r="B32">
        <v>0.4</v>
      </c>
      <c r="C32">
        <v>0.23863174094832229</v>
      </c>
      <c r="D32">
        <v>32.188826021604342</v>
      </c>
      <c r="E32">
        <v>0.86142161606330647</v>
      </c>
      <c r="F32">
        <v>86.586903792164222</v>
      </c>
    </row>
    <row r="33" spans="1:6" x14ac:dyDescent="0.2">
      <c r="B33">
        <v>0.4</v>
      </c>
      <c r="C33">
        <v>0.19715143625868958</v>
      </c>
      <c r="D33">
        <v>26.161772783986205</v>
      </c>
      <c r="E33">
        <v>0.87181555472136585</v>
      </c>
      <c r="F33">
        <v>96.670311600459542</v>
      </c>
    </row>
    <row r="34" spans="1:6" x14ac:dyDescent="0.2">
      <c r="A34" t="s">
        <v>296</v>
      </c>
      <c r="B34">
        <v>0.6</v>
      </c>
      <c r="C34">
        <v>0.21059612389161375</v>
      </c>
      <c r="D34">
        <v>36.048971426133463</v>
      </c>
      <c r="E34">
        <v>1.081206116724104</v>
      </c>
      <c r="F34">
        <v>135.7048418500703</v>
      </c>
    </row>
    <row r="35" spans="1:6" x14ac:dyDescent="0.2">
      <c r="B35">
        <v>0.6</v>
      </c>
      <c r="C35">
        <v>0.24069725589617419</v>
      </c>
      <c r="D35">
        <v>30.592362133569772</v>
      </c>
      <c r="E35">
        <v>1.2629820871953765</v>
      </c>
      <c r="F35">
        <v>119.91587319559075</v>
      </c>
    </row>
    <row r="36" spans="1:6" x14ac:dyDescent="0.2">
      <c r="B36">
        <v>0.6</v>
      </c>
      <c r="C36">
        <v>0.3306013283240668</v>
      </c>
      <c r="D36">
        <v>34.811280200717285</v>
      </c>
      <c r="E36">
        <v>1.2862407642042759</v>
      </c>
      <c r="F36">
        <v>124.16487183958691</v>
      </c>
    </row>
    <row r="37" spans="1:6" x14ac:dyDescent="0.2">
      <c r="B37">
        <v>0.6</v>
      </c>
      <c r="C37">
        <v>0.17710332964376349</v>
      </c>
      <c r="D37">
        <v>26.977045507443126</v>
      </c>
      <c r="E37">
        <v>1.1581864480470832</v>
      </c>
      <c r="F37">
        <v>136.44589413934793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811B-2CDF-4B1F-8434-0EA39EB34EE6}">
  <dimension ref="A2:J109"/>
  <sheetViews>
    <sheetView workbookViewId="0">
      <selection activeCell="G11" sqref="G11:G26"/>
    </sheetView>
  </sheetViews>
  <sheetFormatPr baseColWidth="10" defaultRowHeight="15" x14ac:dyDescent="0.2"/>
  <cols>
    <col min="1" max="1" width="16.5" customWidth="1"/>
    <col min="2" max="2" width="25.6640625" customWidth="1"/>
    <col min="3" max="3" width="19.6640625" customWidth="1"/>
    <col min="4" max="4" width="23.1640625" customWidth="1"/>
    <col min="5" max="5" width="26.1640625" customWidth="1"/>
    <col min="6" max="6" width="26.6640625" customWidth="1"/>
    <col min="7" max="7" width="24.5" customWidth="1"/>
    <col min="8" max="8" width="27" bestFit="1" customWidth="1"/>
  </cols>
  <sheetData>
    <row r="2" spans="1:10" x14ac:dyDescent="0.2">
      <c r="A2" s="7" t="s">
        <v>151</v>
      </c>
    </row>
    <row r="3" spans="1:10" x14ac:dyDescent="0.2">
      <c r="A3" s="8" t="s">
        <v>152</v>
      </c>
      <c r="B3" s="8" t="s">
        <v>153</v>
      </c>
      <c r="C3" s="8" t="s">
        <v>154</v>
      </c>
      <c r="D3" s="8" t="s">
        <v>155</v>
      </c>
    </row>
    <row r="4" spans="1:10" x14ac:dyDescent="0.2">
      <c r="A4" s="2" t="s">
        <v>156</v>
      </c>
      <c r="B4" s="2" t="s">
        <v>157</v>
      </c>
      <c r="C4" s="2" t="s">
        <v>158</v>
      </c>
      <c r="D4" s="2">
        <v>12.5</v>
      </c>
    </row>
    <row r="5" spans="1:10" x14ac:dyDescent="0.2">
      <c r="A5" s="2" t="s">
        <v>159</v>
      </c>
      <c r="B5" s="2" t="s">
        <v>160</v>
      </c>
      <c r="C5" s="2" t="s">
        <v>161</v>
      </c>
      <c r="D5" s="9">
        <v>6</v>
      </c>
    </row>
    <row r="6" spans="1:10" x14ac:dyDescent="0.2">
      <c r="A6" s="2" t="s">
        <v>162</v>
      </c>
      <c r="B6" s="2" t="s">
        <v>163</v>
      </c>
      <c r="C6" s="2" t="s">
        <v>164</v>
      </c>
      <c r="D6" s="9">
        <v>9</v>
      </c>
    </row>
    <row r="7" spans="1:10" ht="17" x14ac:dyDescent="0.25">
      <c r="A7" s="2" t="s">
        <v>165</v>
      </c>
      <c r="B7" s="2" t="s">
        <v>166</v>
      </c>
      <c r="C7" s="2" t="s">
        <v>167</v>
      </c>
      <c r="D7" s="9">
        <v>20.09</v>
      </c>
    </row>
    <row r="9" spans="1:10" x14ac:dyDescent="0.2">
      <c r="A9" s="7" t="s">
        <v>168</v>
      </c>
    </row>
    <row r="10" spans="1:10" ht="17" x14ac:dyDescent="0.2">
      <c r="A10" s="8" t="s">
        <v>150</v>
      </c>
      <c r="B10" s="8" t="s">
        <v>152</v>
      </c>
      <c r="C10" s="8" t="s">
        <v>169</v>
      </c>
      <c r="D10" s="8" t="s">
        <v>170</v>
      </c>
      <c r="E10" s="8" t="s">
        <v>171</v>
      </c>
      <c r="F10" s="2" t="s">
        <v>236</v>
      </c>
      <c r="G10" s="2" t="s">
        <v>224</v>
      </c>
      <c r="H10" s="8" t="s">
        <v>172</v>
      </c>
      <c r="I10" s="8" t="s">
        <v>173</v>
      </c>
      <c r="J10" s="8" t="s">
        <v>174</v>
      </c>
    </row>
    <row r="11" spans="1:10" x14ac:dyDescent="0.2">
      <c r="A11" s="2">
        <v>1</v>
      </c>
      <c r="B11" s="86" t="str">
        <f>A4</f>
        <v>Fe-EDTA</v>
      </c>
      <c r="C11" s="9">
        <v>0.1</v>
      </c>
      <c r="D11" s="2">
        <f>C11*(100/$D$4)</f>
        <v>0.8</v>
      </c>
      <c r="E11" s="10">
        <f>D11/40000*1000*1000</f>
        <v>20</v>
      </c>
      <c r="F11" s="1">
        <v>12.5</v>
      </c>
      <c r="G11" s="1">
        <f>Versuchsdurchführung!E11*0.125</f>
        <v>2.5</v>
      </c>
      <c r="H11" s="10">
        <f t="shared" ref="H11:H26" si="0">E11</f>
        <v>20</v>
      </c>
      <c r="I11" s="10">
        <f>H11*5</f>
        <v>100</v>
      </c>
      <c r="J11" s="1"/>
    </row>
    <row r="12" spans="1:10" x14ac:dyDescent="0.2">
      <c r="A12" s="2">
        <f>A11+1</f>
        <v>2</v>
      </c>
      <c r="B12" s="87"/>
      <c r="C12" s="9">
        <v>0.2</v>
      </c>
      <c r="D12" s="2">
        <f>C12*(100/$D$4)</f>
        <v>1.6</v>
      </c>
      <c r="E12" s="10">
        <f t="shared" ref="E12:E26" si="1">D12/40000*1000*1000</f>
        <v>40</v>
      </c>
      <c r="F12" s="1">
        <v>12.5</v>
      </c>
      <c r="G12" s="1">
        <f>Versuchsdurchführung!E12*0.125</f>
        <v>5</v>
      </c>
      <c r="H12" s="10">
        <f t="shared" si="0"/>
        <v>40</v>
      </c>
      <c r="I12" s="10">
        <f t="shared" ref="I12:I26" si="2">H12*5</f>
        <v>200</v>
      </c>
      <c r="J12" s="1"/>
    </row>
    <row r="13" spans="1:10" x14ac:dyDescent="0.2">
      <c r="A13" s="2">
        <f t="shared" ref="A13:A26" si="3">A12+1</f>
        <v>3</v>
      </c>
      <c r="B13" s="87"/>
      <c r="C13" s="9">
        <v>0.3</v>
      </c>
      <c r="D13" s="2">
        <f>C13*(100/$D$4)</f>
        <v>2.4</v>
      </c>
      <c r="E13" s="10">
        <f t="shared" si="1"/>
        <v>60</v>
      </c>
      <c r="F13" s="1">
        <v>12.5</v>
      </c>
      <c r="G13" s="1">
        <f>Versuchsdurchführung!E13*0.125</f>
        <v>7.5</v>
      </c>
      <c r="H13" s="10">
        <f t="shared" si="0"/>
        <v>60</v>
      </c>
      <c r="I13" s="10">
        <f t="shared" si="2"/>
        <v>300</v>
      </c>
      <c r="J13" s="1"/>
    </row>
    <row r="14" spans="1:10" x14ac:dyDescent="0.2">
      <c r="A14" s="2">
        <f t="shared" si="3"/>
        <v>4</v>
      </c>
      <c r="B14" s="88"/>
      <c r="C14" s="9">
        <v>0.4</v>
      </c>
      <c r="D14" s="2">
        <f>C14*(100/$D$4)</f>
        <v>3.2</v>
      </c>
      <c r="E14" s="10">
        <f t="shared" si="1"/>
        <v>80</v>
      </c>
      <c r="F14" s="1">
        <v>12.5</v>
      </c>
      <c r="G14" s="1">
        <f>Versuchsdurchführung!E14*0.125</f>
        <v>10</v>
      </c>
      <c r="H14" s="10">
        <f t="shared" si="0"/>
        <v>80</v>
      </c>
      <c r="I14" s="10">
        <f t="shared" si="2"/>
        <v>400</v>
      </c>
      <c r="J14" s="1"/>
    </row>
    <row r="15" spans="1:10" x14ac:dyDescent="0.2">
      <c r="A15" s="2">
        <f t="shared" si="3"/>
        <v>5</v>
      </c>
      <c r="B15" s="86" t="str">
        <f>A5</f>
        <v>Fe-EDDHA</v>
      </c>
      <c r="C15" s="11">
        <v>0.1</v>
      </c>
      <c r="D15" s="11">
        <f>C15*(100/$D$5)</f>
        <v>1.666666666666667</v>
      </c>
      <c r="E15" s="12">
        <f t="shared" si="1"/>
        <v>41.666666666666671</v>
      </c>
      <c r="F15" s="1">
        <v>6</v>
      </c>
      <c r="G15" s="1">
        <f>E15*0.06</f>
        <v>2.5</v>
      </c>
      <c r="H15" s="12">
        <f t="shared" si="0"/>
        <v>41.666666666666671</v>
      </c>
      <c r="I15" s="12">
        <f t="shared" si="2"/>
        <v>208.33333333333337</v>
      </c>
      <c r="J15" s="1"/>
    </row>
    <row r="16" spans="1:10" x14ac:dyDescent="0.2">
      <c r="A16" s="2">
        <f t="shared" si="3"/>
        <v>6</v>
      </c>
      <c r="B16" s="87"/>
      <c r="C16" s="13">
        <v>0.2</v>
      </c>
      <c r="D16" s="13">
        <f>C16*(100/$D$5)</f>
        <v>3.3333333333333339</v>
      </c>
      <c r="E16" s="14">
        <f t="shared" si="1"/>
        <v>83.333333333333343</v>
      </c>
      <c r="F16" s="1">
        <v>6</v>
      </c>
      <c r="G16" s="1">
        <f t="shared" ref="G16:G18" si="4">E16*0.06</f>
        <v>5</v>
      </c>
      <c r="H16" s="14">
        <f t="shared" si="0"/>
        <v>83.333333333333343</v>
      </c>
      <c r="I16" s="14">
        <f t="shared" si="2"/>
        <v>416.66666666666674</v>
      </c>
      <c r="J16" s="15">
        <f>I16*4</f>
        <v>1666.666666666667</v>
      </c>
    </row>
    <row r="17" spans="1:10" x14ac:dyDescent="0.2">
      <c r="A17" s="2">
        <f t="shared" si="3"/>
        <v>7</v>
      </c>
      <c r="B17" s="87"/>
      <c r="C17" s="13">
        <v>0.3</v>
      </c>
      <c r="D17" s="13">
        <f>C17*(100/$D$5)</f>
        <v>5</v>
      </c>
      <c r="E17" s="14">
        <f t="shared" si="1"/>
        <v>125</v>
      </c>
      <c r="F17" s="1">
        <v>6</v>
      </c>
      <c r="G17" s="1">
        <f t="shared" si="4"/>
        <v>7.5</v>
      </c>
      <c r="H17" s="14">
        <f t="shared" si="0"/>
        <v>125</v>
      </c>
      <c r="I17" s="14">
        <f t="shared" si="2"/>
        <v>625</v>
      </c>
      <c r="J17" s="15">
        <f>I17*4</f>
        <v>2500</v>
      </c>
    </row>
    <row r="18" spans="1:10" x14ac:dyDescent="0.2">
      <c r="A18" s="2">
        <f t="shared" si="3"/>
        <v>8</v>
      </c>
      <c r="B18" s="88"/>
      <c r="C18" s="13">
        <v>0.4</v>
      </c>
      <c r="D18" s="13">
        <f>C18*(100/$D$5)</f>
        <v>6.6666666666666679</v>
      </c>
      <c r="E18" s="14">
        <f t="shared" si="1"/>
        <v>166.66666666666669</v>
      </c>
      <c r="F18" s="1">
        <v>6</v>
      </c>
      <c r="G18" s="1">
        <f t="shared" si="4"/>
        <v>10</v>
      </c>
      <c r="H18" s="14">
        <f t="shared" si="0"/>
        <v>166.66666666666669</v>
      </c>
      <c r="I18" s="14">
        <f t="shared" si="2"/>
        <v>833.33333333333348</v>
      </c>
      <c r="J18" s="15">
        <f>I18*4</f>
        <v>3333.3333333333339</v>
      </c>
    </row>
    <row r="19" spans="1:10" x14ac:dyDescent="0.2">
      <c r="A19" s="2">
        <f t="shared" si="3"/>
        <v>9</v>
      </c>
      <c r="B19" s="86" t="str">
        <f>A6</f>
        <v>Fe-IDHA</v>
      </c>
      <c r="C19" s="16">
        <v>0.1</v>
      </c>
      <c r="D19" s="16">
        <f>C19*(100/$D$6)</f>
        <v>1.1111111111111112</v>
      </c>
      <c r="E19" s="17">
        <f t="shared" si="1"/>
        <v>27.777777777777779</v>
      </c>
      <c r="F19" s="1">
        <v>9</v>
      </c>
      <c r="G19" s="1">
        <f>E19*0.09</f>
        <v>2.5</v>
      </c>
      <c r="H19" s="17">
        <f t="shared" si="0"/>
        <v>27.777777777777779</v>
      </c>
      <c r="I19" s="17">
        <f t="shared" si="2"/>
        <v>138.88888888888889</v>
      </c>
      <c r="J19" s="22"/>
    </row>
    <row r="20" spans="1:10" x14ac:dyDescent="0.2">
      <c r="A20" s="2">
        <f t="shared" si="3"/>
        <v>10</v>
      </c>
      <c r="B20" s="87"/>
      <c r="C20" s="9">
        <v>0.2</v>
      </c>
      <c r="D20" s="9">
        <f>C20*(100/$D$6)</f>
        <v>2.2222222222222223</v>
      </c>
      <c r="E20" s="10">
        <f t="shared" si="1"/>
        <v>55.555555555555557</v>
      </c>
      <c r="F20" s="1">
        <v>9</v>
      </c>
      <c r="G20" s="1">
        <f t="shared" ref="G20:G22" si="5">E20*0.09</f>
        <v>5</v>
      </c>
      <c r="H20" s="10">
        <f t="shared" si="0"/>
        <v>55.555555555555557</v>
      </c>
      <c r="I20" s="10">
        <f t="shared" si="2"/>
        <v>277.77777777777777</v>
      </c>
      <c r="J20" s="22"/>
    </row>
    <row r="21" spans="1:10" x14ac:dyDescent="0.2">
      <c r="A21" s="2">
        <f t="shared" si="3"/>
        <v>11</v>
      </c>
      <c r="B21" s="87"/>
      <c r="C21" s="9">
        <v>0.3</v>
      </c>
      <c r="D21" s="9">
        <f>C21*(100/$D$6)</f>
        <v>3.333333333333333</v>
      </c>
      <c r="E21" s="10">
        <f t="shared" si="1"/>
        <v>83.333333333333329</v>
      </c>
      <c r="F21" s="1">
        <v>9</v>
      </c>
      <c r="G21" s="1">
        <f t="shared" si="5"/>
        <v>7.4999999999999991</v>
      </c>
      <c r="H21" s="10">
        <f t="shared" si="0"/>
        <v>83.333333333333329</v>
      </c>
      <c r="I21" s="10">
        <f t="shared" si="2"/>
        <v>416.66666666666663</v>
      </c>
      <c r="J21" s="22"/>
    </row>
    <row r="22" spans="1:10" x14ac:dyDescent="0.2">
      <c r="A22" s="2">
        <f t="shared" si="3"/>
        <v>12</v>
      </c>
      <c r="B22" s="88"/>
      <c r="C22" s="9">
        <v>0.4</v>
      </c>
      <c r="D22" s="9">
        <f>C22*(100/$D$6)</f>
        <v>4.4444444444444446</v>
      </c>
      <c r="E22" s="10">
        <f t="shared" si="1"/>
        <v>111.11111111111111</v>
      </c>
      <c r="F22" s="1">
        <v>9</v>
      </c>
      <c r="G22" s="1">
        <f t="shared" si="5"/>
        <v>10</v>
      </c>
      <c r="H22" s="10">
        <f t="shared" si="0"/>
        <v>111.11111111111111</v>
      </c>
      <c r="I22" s="10">
        <f t="shared" si="2"/>
        <v>555.55555555555554</v>
      </c>
      <c r="J22" s="22"/>
    </row>
    <row r="23" spans="1:10" ht="15" customHeight="1" x14ac:dyDescent="0.2">
      <c r="A23" s="2">
        <f t="shared" si="3"/>
        <v>13</v>
      </c>
      <c r="B23" s="86" t="s">
        <v>165</v>
      </c>
      <c r="C23" s="9">
        <v>0.1</v>
      </c>
      <c r="D23" s="9">
        <f>C23*(100/$D$7)</f>
        <v>0.49776007964161278</v>
      </c>
      <c r="E23" s="10">
        <f t="shared" si="1"/>
        <v>12.444001991040318</v>
      </c>
      <c r="F23" s="1">
        <v>20.100000000000001</v>
      </c>
      <c r="G23" s="73">
        <f>E23*0.201</f>
        <v>2.5012444001991043</v>
      </c>
      <c r="H23" s="10">
        <f t="shared" si="0"/>
        <v>12.444001991040318</v>
      </c>
      <c r="I23" s="10">
        <f t="shared" si="2"/>
        <v>62.22000995520159</v>
      </c>
      <c r="J23" s="22"/>
    </row>
    <row r="24" spans="1:10" x14ac:dyDescent="0.2">
      <c r="A24" s="2">
        <f t="shared" si="3"/>
        <v>14</v>
      </c>
      <c r="B24" s="87"/>
      <c r="C24" s="13">
        <v>0.2</v>
      </c>
      <c r="D24" s="13">
        <f>C24*(100/$D$7)</f>
        <v>0.99552015928322557</v>
      </c>
      <c r="E24" s="14">
        <f t="shared" si="1"/>
        <v>24.888003982080637</v>
      </c>
      <c r="F24" s="1">
        <v>20.100000000000001</v>
      </c>
      <c r="G24" s="73">
        <f t="shared" ref="G24:G26" si="6">E24*0.201</f>
        <v>5.0024888003982086</v>
      </c>
      <c r="H24" s="14">
        <f t="shared" si="0"/>
        <v>24.888003982080637</v>
      </c>
      <c r="I24" s="14">
        <f t="shared" si="2"/>
        <v>124.44001991040318</v>
      </c>
      <c r="J24" s="15">
        <f>I24*4</f>
        <v>497.76007964161272</v>
      </c>
    </row>
    <row r="25" spans="1:10" x14ac:dyDescent="0.2">
      <c r="A25" s="2">
        <f t="shared" si="3"/>
        <v>15</v>
      </c>
      <c r="B25" s="87"/>
      <c r="C25" s="13">
        <v>0.3</v>
      </c>
      <c r="D25" s="13">
        <f>C25*(100/$D$7)</f>
        <v>1.4932802389248383</v>
      </c>
      <c r="E25" s="14">
        <f t="shared" si="1"/>
        <v>37.332005973120957</v>
      </c>
      <c r="F25" s="1">
        <v>20.100000000000001</v>
      </c>
      <c r="G25" s="73">
        <f t="shared" si="6"/>
        <v>7.5037332005973125</v>
      </c>
      <c r="H25" s="14">
        <f t="shared" si="0"/>
        <v>37.332005973120957</v>
      </c>
      <c r="I25" s="14">
        <f t="shared" si="2"/>
        <v>186.66002986560477</v>
      </c>
      <c r="J25" s="15">
        <f>I25*4</f>
        <v>746.64011946241908</v>
      </c>
    </row>
    <row r="26" spans="1:10" x14ac:dyDescent="0.2">
      <c r="A26" s="2">
        <f t="shared" si="3"/>
        <v>16</v>
      </c>
      <c r="B26" s="88"/>
      <c r="C26" s="13">
        <v>0.4</v>
      </c>
      <c r="D26" s="13">
        <f>C26*(100/$D$7)</f>
        <v>1.9910403185664511</v>
      </c>
      <c r="E26" s="14">
        <f t="shared" si="1"/>
        <v>49.776007964161273</v>
      </c>
      <c r="F26" s="1">
        <v>20.100000000000001</v>
      </c>
      <c r="G26" s="73">
        <f t="shared" si="6"/>
        <v>10.004977600796417</v>
      </c>
      <c r="H26" s="14">
        <f t="shared" si="0"/>
        <v>49.776007964161273</v>
      </c>
      <c r="I26" s="14">
        <f t="shared" si="2"/>
        <v>248.88003982080636</v>
      </c>
      <c r="J26" s="15">
        <f>I26*4</f>
        <v>995.52015928322544</v>
      </c>
    </row>
    <row r="27" spans="1:10" ht="17" x14ac:dyDescent="0.2">
      <c r="A27" t="s">
        <v>175</v>
      </c>
    </row>
    <row r="28" spans="1:10" ht="17" x14ac:dyDescent="0.2">
      <c r="A28" s="19" t="s">
        <v>176</v>
      </c>
    </row>
    <row r="29" spans="1:10" ht="17" x14ac:dyDescent="0.2">
      <c r="A29" t="s">
        <v>177</v>
      </c>
    </row>
    <row r="31" spans="1:10" x14ac:dyDescent="0.2">
      <c r="A31" s="7" t="s">
        <v>178</v>
      </c>
    </row>
    <row r="32" spans="1:10" x14ac:dyDescent="0.2">
      <c r="A32" t="s">
        <v>179</v>
      </c>
    </row>
    <row r="33" spans="1:1" x14ac:dyDescent="0.2">
      <c r="A33" t="s">
        <v>180</v>
      </c>
    </row>
    <row r="34" spans="1:1" x14ac:dyDescent="0.2">
      <c r="A34" t="s">
        <v>181</v>
      </c>
    </row>
    <row r="35" spans="1:1" ht="17" x14ac:dyDescent="0.2">
      <c r="A35" t="s">
        <v>182</v>
      </c>
    </row>
    <row r="36" spans="1:1" x14ac:dyDescent="0.2">
      <c r="A36" t="s">
        <v>183</v>
      </c>
    </row>
    <row r="37" spans="1:1" x14ac:dyDescent="0.2">
      <c r="A37" t="s">
        <v>184</v>
      </c>
    </row>
    <row r="38" spans="1:1" ht="6.5" customHeight="1" x14ac:dyDescent="0.2"/>
    <row r="39" spans="1:1" ht="17" x14ac:dyDescent="0.2">
      <c r="A39" t="s">
        <v>185</v>
      </c>
    </row>
    <row r="40" spans="1:1" x14ac:dyDescent="0.2">
      <c r="A40" s="20" t="s">
        <v>186</v>
      </c>
    </row>
    <row r="41" spans="1:1" x14ac:dyDescent="0.2">
      <c r="A41" s="20" t="s">
        <v>187</v>
      </c>
    </row>
    <row r="42" spans="1:1" x14ac:dyDescent="0.2">
      <c r="A42" t="s">
        <v>188</v>
      </c>
    </row>
    <row r="45" spans="1:1" x14ac:dyDescent="0.2">
      <c r="A45" s="7" t="s">
        <v>189</v>
      </c>
    </row>
    <row r="46" spans="1:1" x14ac:dyDescent="0.2">
      <c r="A46" t="s">
        <v>190</v>
      </c>
    </row>
    <row r="47" spans="1:1" x14ac:dyDescent="0.2">
      <c r="A47" t="s">
        <v>191</v>
      </c>
    </row>
    <row r="48" spans="1:1" x14ac:dyDescent="0.2">
      <c r="A48" t="s">
        <v>192</v>
      </c>
    </row>
    <row r="50" spans="1:1" x14ac:dyDescent="0.2">
      <c r="A50" s="7" t="s">
        <v>193</v>
      </c>
    </row>
    <row r="51" spans="1:1" x14ac:dyDescent="0.2">
      <c r="A51" t="s">
        <v>194</v>
      </c>
    </row>
    <row r="52" spans="1:1" x14ac:dyDescent="0.2">
      <c r="A52" t="s">
        <v>195</v>
      </c>
    </row>
    <row r="53" spans="1:1" x14ac:dyDescent="0.2">
      <c r="A53" t="s">
        <v>196</v>
      </c>
    </row>
    <row r="54" spans="1:1" x14ac:dyDescent="0.2">
      <c r="A54" t="s">
        <v>197</v>
      </c>
    </row>
    <row r="55" spans="1:1" x14ac:dyDescent="0.2">
      <c r="A55" t="s">
        <v>198</v>
      </c>
    </row>
    <row r="56" spans="1:1" x14ac:dyDescent="0.2">
      <c r="A56" t="s">
        <v>199</v>
      </c>
    </row>
    <row r="75" spans="1:1" x14ac:dyDescent="0.2">
      <c r="A75" s="7" t="s">
        <v>200</v>
      </c>
    </row>
    <row r="77" spans="1:1" x14ac:dyDescent="0.2">
      <c r="A77" s="7" t="s">
        <v>201</v>
      </c>
    </row>
    <row r="78" spans="1:1" ht="8.75" customHeight="1" x14ac:dyDescent="0.2"/>
    <row r="79" spans="1:1" x14ac:dyDescent="0.2">
      <c r="A79" s="20" t="s">
        <v>202</v>
      </c>
    </row>
    <row r="80" spans="1:1" x14ac:dyDescent="0.2">
      <c r="A80" s="20" t="s">
        <v>203</v>
      </c>
    </row>
    <row r="81" spans="1:7" x14ac:dyDescent="0.2">
      <c r="A81" s="20" t="s">
        <v>204</v>
      </c>
    </row>
    <row r="82" spans="1:7" x14ac:dyDescent="0.2">
      <c r="A82" s="20" t="s">
        <v>205</v>
      </c>
    </row>
    <row r="83" spans="1:7" x14ac:dyDescent="0.2">
      <c r="A83" s="20" t="s">
        <v>206</v>
      </c>
    </row>
    <row r="84" spans="1:7" x14ac:dyDescent="0.2">
      <c r="A84" s="20" t="s">
        <v>207</v>
      </c>
    </row>
    <row r="86" spans="1:7" x14ac:dyDescent="0.2">
      <c r="A86" t="s">
        <v>208</v>
      </c>
      <c r="C86" t="s">
        <v>209</v>
      </c>
      <c r="E86" t="s">
        <v>210</v>
      </c>
    </row>
    <row r="87" spans="1:7" ht="17" x14ac:dyDescent="0.2">
      <c r="A87" s="19" t="s">
        <v>211</v>
      </c>
      <c r="C87">
        <f>72/4</f>
        <v>18</v>
      </c>
      <c r="D87" t="s">
        <v>212</v>
      </c>
      <c r="E87" s="18">
        <f>C87*(60/14)</f>
        <v>77.142857142857139</v>
      </c>
      <c r="F87" t="s">
        <v>212</v>
      </c>
      <c r="G87" t="s">
        <v>213</v>
      </c>
    </row>
    <row r="88" spans="1:7" x14ac:dyDescent="0.2">
      <c r="A88" s="21"/>
    </row>
    <row r="89" spans="1:7" x14ac:dyDescent="0.2">
      <c r="A89" s="21"/>
      <c r="E89" t="s">
        <v>214</v>
      </c>
    </row>
    <row r="90" spans="1:7" x14ac:dyDescent="0.2">
      <c r="A90" s="21"/>
    </row>
    <row r="91" spans="1:7" x14ac:dyDescent="0.2">
      <c r="A91" s="7" t="s">
        <v>238</v>
      </c>
    </row>
    <row r="92" spans="1:7" ht="17" x14ac:dyDescent="0.2">
      <c r="A92" t="s">
        <v>239</v>
      </c>
      <c r="D92" s="1" t="s">
        <v>240</v>
      </c>
      <c r="E92" s="51">
        <v>86.025000000000006</v>
      </c>
      <c r="F92" s="51" t="s">
        <v>241</v>
      </c>
      <c r="G92" s="51" t="s">
        <v>242</v>
      </c>
    </row>
    <row r="93" spans="1:7" x14ac:dyDescent="0.2">
      <c r="A93" t="s">
        <v>243</v>
      </c>
    </row>
    <row r="96" spans="1:7" x14ac:dyDescent="0.2">
      <c r="A96" s="7" t="s">
        <v>266</v>
      </c>
    </row>
    <row r="97" spans="1:1" x14ac:dyDescent="0.2">
      <c r="A97" t="s">
        <v>267</v>
      </c>
    </row>
    <row r="98" spans="1:1" x14ac:dyDescent="0.2">
      <c r="A98" t="s">
        <v>268</v>
      </c>
    </row>
    <row r="99" spans="1:1" x14ac:dyDescent="0.2">
      <c r="A99" t="s">
        <v>269</v>
      </c>
    </row>
    <row r="100" spans="1:1" x14ac:dyDescent="0.2">
      <c r="A100" t="s">
        <v>270</v>
      </c>
    </row>
    <row r="101" spans="1:1" x14ac:dyDescent="0.2">
      <c r="A101" t="s">
        <v>271</v>
      </c>
    </row>
    <row r="102" spans="1:1" x14ac:dyDescent="0.2">
      <c r="A102" t="s">
        <v>273</v>
      </c>
    </row>
    <row r="103" spans="1:1" x14ac:dyDescent="0.2">
      <c r="A103" t="s">
        <v>272</v>
      </c>
    </row>
    <row r="105" spans="1:1" x14ac:dyDescent="0.2">
      <c r="A105" s="7" t="s">
        <v>274</v>
      </c>
    </row>
    <row r="106" spans="1:1" x14ac:dyDescent="0.2">
      <c r="A106" t="s">
        <v>275</v>
      </c>
    </row>
    <row r="107" spans="1:1" x14ac:dyDescent="0.2">
      <c r="A107" t="s">
        <v>276</v>
      </c>
    </row>
    <row r="108" spans="1:1" x14ac:dyDescent="0.2">
      <c r="A108" t="s">
        <v>277</v>
      </c>
    </row>
    <row r="109" spans="1:1" x14ac:dyDescent="0.2">
      <c r="A109" t="s">
        <v>278</v>
      </c>
    </row>
  </sheetData>
  <mergeCells count="4">
    <mergeCell ref="B11:B14"/>
    <mergeCell ref="B15:B18"/>
    <mergeCell ref="B19:B22"/>
    <mergeCell ref="B23:B2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2"/>
  <sheetViews>
    <sheetView workbookViewId="0">
      <selection activeCell="E3" sqref="E3"/>
    </sheetView>
  </sheetViews>
  <sheetFormatPr baseColWidth="10" defaultRowHeight="15" x14ac:dyDescent="0.2"/>
  <cols>
    <col min="1" max="1" width="7.83203125" customWidth="1"/>
    <col min="2" max="2" width="32.5" customWidth="1"/>
    <col min="3" max="5" width="31.5" customWidth="1"/>
    <col min="6" max="6" width="26.83203125" customWidth="1"/>
    <col min="7" max="7" width="24.5" customWidth="1"/>
    <col min="8" max="8" width="39.83203125" customWidth="1"/>
    <col min="9" max="9" width="27.83203125" bestFit="1" customWidth="1"/>
    <col min="10" max="10" width="36.1640625" bestFit="1" customWidth="1"/>
    <col min="11" max="11" width="17.5" customWidth="1"/>
  </cols>
  <sheetData>
    <row r="2" spans="2:11" x14ac:dyDescent="0.2">
      <c r="B2" s="3" t="s">
        <v>228</v>
      </c>
    </row>
    <row r="3" spans="2:11" ht="50" x14ac:dyDescent="0.2">
      <c r="B3" s="1" t="s">
        <v>148</v>
      </c>
      <c r="C3" s="1" t="s">
        <v>237</v>
      </c>
      <c r="D3" s="2" t="s">
        <v>236</v>
      </c>
      <c r="E3" s="2" t="s">
        <v>224</v>
      </c>
      <c r="F3" s="2" t="s">
        <v>251</v>
      </c>
      <c r="G3" s="30" t="s">
        <v>260</v>
      </c>
      <c r="H3" s="30" t="s">
        <v>227</v>
      </c>
      <c r="I3" s="2" t="s">
        <v>282</v>
      </c>
      <c r="J3" s="30" t="s">
        <v>283</v>
      </c>
      <c r="K3" s="28" t="s">
        <v>279</v>
      </c>
    </row>
    <row r="4" spans="2:11" x14ac:dyDescent="0.2">
      <c r="B4" s="1" t="s">
        <v>149</v>
      </c>
      <c r="C4" s="10">
        <v>0</v>
      </c>
      <c r="D4" s="10">
        <v>0</v>
      </c>
      <c r="E4" s="10">
        <v>0</v>
      </c>
      <c r="F4" s="6">
        <f>'Theoretische Eisenzufuhr und pH'!$C$36</f>
        <v>81.44</v>
      </c>
      <c r="G4" s="6">
        <f>100/F4</f>
        <v>1.2278978388998036</v>
      </c>
      <c r="H4" s="2">
        <v>0</v>
      </c>
      <c r="I4" s="6">
        <f>$C$52</f>
        <v>11.893749999999999</v>
      </c>
      <c r="J4" s="6">
        <f>1000/I4</f>
        <v>84.077771939043629</v>
      </c>
      <c r="K4" s="2">
        <v>0</v>
      </c>
    </row>
    <row r="5" spans="2:11" ht="17" x14ac:dyDescent="0.2">
      <c r="B5" s="1" t="s">
        <v>252</v>
      </c>
      <c r="C5" s="10">
        <f>Versuchsdurchführung!$E$16</f>
        <v>83.333333333333343</v>
      </c>
      <c r="D5" s="10">
        <f>Versuchsdurchführung!$D$5</f>
        <v>6</v>
      </c>
      <c r="E5" s="9">
        <f>C5*0.06</f>
        <v>5</v>
      </c>
      <c r="F5" s="6">
        <f>'Theoretische Eisenzufuhr und pH'!$D$36</f>
        <v>84.174583333333331</v>
      </c>
      <c r="G5" s="6">
        <f>100/F5</f>
        <v>1.1880070686420585</v>
      </c>
      <c r="H5" s="6">
        <f>E5*G5</f>
        <v>5.9400353432102921</v>
      </c>
      <c r="I5" s="6">
        <f>$D$52</f>
        <v>12.307916666666666</v>
      </c>
      <c r="J5" s="6">
        <f t="shared" ref="J5:J11" si="0">1000/I5</f>
        <v>81.248518907207426</v>
      </c>
      <c r="K5" s="6">
        <f>J5*E5</f>
        <v>406.24259453603713</v>
      </c>
    </row>
    <row r="6" spans="2:11" ht="17" x14ac:dyDescent="0.2">
      <c r="B6" s="1" t="s">
        <v>253</v>
      </c>
      <c r="C6" s="27">
        <f>Versuchsdurchführung!$E$17</f>
        <v>125</v>
      </c>
      <c r="D6" s="10">
        <f>Versuchsdurchführung!$D$5</f>
        <v>6</v>
      </c>
      <c r="E6" s="9">
        <f>C6*0.06</f>
        <v>7.5</v>
      </c>
      <c r="F6" s="6">
        <f>'Theoretische Eisenzufuhr und pH'!$E$36</f>
        <v>81.724583333333328</v>
      </c>
      <c r="G6" s="6">
        <f t="shared" ref="G6:G11" si="1">100/F6</f>
        <v>1.2236220231570469</v>
      </c>
      <c r="H6" s="6">
        <f t="shared" ref="H6:H11" si="2">E6*G6</f>
        <v>9.1771651736778512</v>
      </c>
      <c r="I6" s="6">
        <f>$E$52</f>
        <v>12.131250000000001</v>
      </c>
      <c r="J6" s="6">
        <f t="shared" si="0"/>
        <v>82.431736218444087</v>
      </c>
      <c r="K6" s="6">
        <f t="shared" ref="K6:K11" si="3">J6*E6</f>
        <v>618.23802163833068</v>
      </c>
    </row>
    <row r="7" spans="2:11" ht="17" x14ac:dyDescent="0.2">
      <c r="B7" s="1" t="s">
        <v>254</v>
      </c>
      <c r="C7" s="10">
        <f>Versuchsdurchführung!$E$18</f>
        <v>166.66666666666669</v>
      </c>
      <c r="D7" s="10">
        <f>Versuchsdurchführung!$D$5</f>
        <v>6</v>
      </c>
      <c r="E7" s="9">
        <f>C7*0.06</f>
        <v>10</v>
      </c>
      <c r="F7" s="6">
        <f>'Theoretische Eisenzufuhr und pH'!$G$36</f>
        <v>85.379166666666663</v>
      </c>
      <c r="G7" s="6">
        <f t="shared" si="1"/>
        <v>1.1712459128397834</v>
      </c>
      <c r="H7" s="6">
        <f t="shared" si="2"/>
        <v>11.712459128397834</v>
      </c>
      <c r="I7" s="6">
        <f>$G$52</f>
        <v>12.445416666666668</v>
      </c>
      <c r="J7" s="6">
        <f t="shared" si="0"/>
        <v>80.350865445779888</v>
      </c>
      <c r="K7" s="6">
        <f t="shared" si="3"/>
        <v>803.50865445779891</v>
      </c>
    </row>
    <row r="8" spans="2:11" ht="18" x14ac:dyDescent="0.2">
      <c r="B8" s="28" t="s">
        <v>259</v>
      </c>
      <c r="C8" s="27">
        <f>C6*2</f>
        <v>250</v>
      </c>
      <c r="D8" s="10">
        <f>Versuchsdurchführung!$D$5</f>
        <v>6</v>
      </c>
      <c r="E8" s="9">
        <f>C8*0.06</f>
        <v>15</v>
      </c>
      <c r="F8" s="6">
        <f>'Theoretische Eisenzufuhr und pH'!$F$36</f>
        <v>82.657083333333347</v>
      </c>
      <c r="G8" s="6">
        <f>100/F8</f>
        <v>1.2098176703952572</v>
      </c>
      <c r="H8" s="6">
        <f>E8*G8</f>
        <v>18.147265055928859</v>
      </c>
      <c r="I8" s="6">
        <f>$F$52</f>
        <v>11.942083333333331</v>
      </c>
      <c r="J8" s="6">
        <f>1000/I8</f>
        <v>83.737482990823779</v>
      </c>
      <c r="K8" s="6">
        <f>J8*E8</f>
        <v>1256.0622448623567</v>
      </c>
    </row>
    <row r="9" spans="2:11" ht="18" x14ac:dyDescent="0.25">
      <c r="B9" s="1" t="s">
        <v>255</v>
      </c>
      <c r="C9" s="27">
        <f>Versuchsdurchführung!$E$24</f>
        <v>24.888003982080637</v>
      </c>
      <c r="D9" s="9">
        <f>Versuchsdurchführung!$D$7</f>
        <v>20.09</v>
      </c>
      <c r="E9" s="9">
        <f>C9*0.201</f>
        <v>5.0024888003982086</v>
      </c>
      <c r="F9" s="6">
        <f>'Theoretische Eisenzufuhr und pH'!$H$36</f>
        <v>81.46374999999999</v>
      </c>
      <c r="G9" s="6">
        <f t="shared" si="1"/>
        <v>1.227539856684722</v>
      </c>
      <c r="H9" s="6">
        <f t="shared" si="2"/>
        <v>6.1407543851077442</v>
      </c>
      <c r="I9" s="6">
        <f>$H$52</f>
        <v>12.497083333333331</v>
      </c>
      <c r="J9" s="6">
        <f t="shared" si="0"/>
        <v>80.018671023238767</v>
      </c>
      <c r="K9" s="6">
        <f t="shared" si="3"/>
        <v>400.29250561650059</v>
      </c>
    </row>
    <row r="10" spans="2:11" ht="18" x14ac:dyDescent="0.25">
      <c r="B10" s="1" t="s">
        <v>256</v>
      </c>
      <c r="C10" s="27">
        <f>Versuchsdurchführung!$E$25</f>
        <v>37.332005973120957</v>
      </c>
      <c r="D10" s="9">
        <f>Versuchsdurchführung!$D$7</f>
        <v>20.09</v>
      </c>
      <c r="E10" s="9">
        <f>C10*0.201</f>
        <v>7.5037332005973125</v>
      </c>
      <c r="F10" s="6">
        <f>'Theoretische Eisenzufuhr und pH'!$I$36</f>
        <v>84.557500000000005</v>
      </c>
      <c r="G10" s="6">
        <f t="shared" si="1"/>
        <v>1.1826272063388819</v>
      </c>
      <c r="H10" s="6">
        <f t="shared" si="2"/>
        <v>8.8741190321347165</v>
      </c>
      <c r="I10" s="6">
        <f>$I$52</f>
        <v>12.427500000000002</v>
      </c>
      <c r="J10" s="6">
        <f t="shared" si="0"/>
        <v>80.4667069000201</v>
      </c>
      <c r="K10" s="6">
        <f t="shared" si="3"/>
        <v>603.80070010841371</v>
      </c>
    </row>
    <row r="11" spans="2:11" ht="18" x14ac:dyDescent="0.25">
      <c r="B11" s="1" t="s">
        <v>257</v>
      </c>
      <c r="C11" s="10">
        <f>Versuchsdurchführung!$E$26</f>
        <v>49.776007964161273</v>
      </c>
      <c r="D11" s="9">
        <f>Versuchsdurchführung!$D$7</f>
        <v>20.09</v>
      </c>
      <c r="E11" s="9">
        <f>C11*0.201</f>
        <v>10.004977600796417</v>
      </c>
      <c r="F11" s="6">
        <f>'Theoretische Eisenzufuhr und pH'!$K$36</f>
        <v>81.382916666666674</v>
      </c>
      <c r="G11" s="6">
        <f t="shared" si="1"/>
        <v>1.2287591068969224</v>
      </c>
      <c r="H11" s="6">
        <f t="shared" si="2"/>
        <v>12.293707341278319</v>
      </c>
      <c r="I11" s="6">
        <f>$K$52</f>
        <v>12.182083333333333</v>
      </c>
      <c r="J11" s="6">
        <f t="shared" si="0"/>
        <v>82.087765502616548</v>
      </c>
      <c r="K11" s="6">
        <f t="shared" si="3"/>
        <v>821.28625515310739</v>
      </c>
    </row>
    <row r="12" spans="2:11" ht="34" x14ac:dyDescent="0.2">
      <c r="B12" s="28" t="s">
        <v>258</v>
      </c>
      <c r="C12" s="27">
        <f>C10*2</f>
        <v>74.664011946241914</v>
      </c>
      <c r="D12" s="9">
        <f>Versuchsdurchführung!$D$7</f>
        <v>20.09</v>
      </c>
      <c r="E12" s="9">
        <f>C12*0.201</f>
        <v>15.007466401194625</v>
      </c>
      <c r="F12" s="6">
        <f>'Theoretische Eisenzufuhr und pH'!$J$36</f>
        <v>78.122916666666654</v>
      </c>
      <c r="G12" s="6">
        <f>100/F12</f>
        <v>1.2800341342435799</v>
      </c>
      <c r="H12" s="6">
        <f>E12*G12</f>
        <v>19.210069262042776</v>
      </c>
      <c r="I12" s="6">
        <f>$J$52</f>
        <v>11.58</v>
      </c>
      <c r="J12" s="6">
        <f>1000/I12</f>
        <v>86.355785837651126</v>
      </c>
      <c r="K12" s="6">
        <f>J12*E12</f>
        <v>1295.9815545073079</v>
      </c>
    </row>
    <row r="13" spans="2:11" ht="17" x14ac:dyDescent="0.2">
      <c r="C13" t="s">
        <v>263</v>
      </c>
    </row>
    <row r="14" spans="2:11" x14ac:dyDescent="0.2">
      <c r="F14" s="29"/>
      <c r="G14" s="29"/>
    </row>
    <row r="15" spans="2:11" x14ac:dyDescent="0.2">
      <c r="B15" s="3" t="s">
        <v>250</v>
      </c>
    </row>
    <row r="16" spans="2:11" x14ac:dyDescent="0.2">
      <c r="B16" s="1" t="s">
        <v>229</v>
      </c>
      <c r="C16" s="1" t="s">
        <v>235</v>
      </c>
      <c r="D16" s="1" t="s">
        <v>234</v>
      </c>
    </row>
    <row r="17" spans="2:11" x14ac:dyDescent="0.2">
      <c r="B17" s="1">
        <v>1</v>
      </c>
      <c r="C17" s="1">
        <v>5.9</v>
      </c>
      <c r="D17" s="1">
        <v>5.8</v>
      </c>
    </row>
    <row r="18" spans="2:11" x14ac:dyDescent="0.2">
      <c r="B18" s="1">
        <v>2</v>
      </c>
      <c r="C18" s="1">
        <v>5.9</v>
      </c>
      <c r="D18" s="1">
        <v>5.8</v>
      </c>
    </row>
    <row r="19" spans="2:11" x14ac:dyDescent="0.2">
      <c r="B19" s="1">
        <v>3</v>
      </c>
      <c r="C19" s="1">
        <v>5.9</v>
      </c>
      <c r="D19" s="1">
        <v>5.9</v>
      </c>
      <c r="E19" s="7" t="s">
        <v>145</v>
      </c>
    </row>
    <row r="20" spans="2:11" x14ac:dyDescent="0.2">
      <c r="E20" s="24">
        <f>AVERAGE(C17:D19)</f>
        <v>5.8666666666666671</v>
      </c>
    </row>
    <row r="21" spans="2:11" x14ac:dyDescent="0.2">
      <c r="B21" s="3" t="s">
        <v>281</v>
      </c>
    </row>
    <row r="22" spans="2:11" ht="50" x14ac:dyDescent="0.2">
      <c r="B22" s="8" t="s">
        <v>230</v>
      </c>
      <c r="C22" s="8" t="s">
        <v>149</v>
      </c>
      <c r="D22" s="4" t="s">
        <v>244</v>
      </c>
      <c r="E22" s="8" t="s">
        <v>245</v>
      </c>
      <c r="F22" s="8" t="s">
        <v>246</v>
      </c>
      <c r="G22" s="4" t="s">
        <v>261</v>
      </c>
      <c r="H22" s="4" t="s">
        <v>247</v>
      </c>
      <c r="I22" s="4" t="s">
        <v>248</v>
      </c>
      <c r="J22" s="4" t="s">
        <v>249</v>
      </c>
      <c r="K22" s="4" t="s">
        <v>262</v>
      </c>
    </row>
    <row r="23" spans="2:11" x14ac:dyDescent="0.2">
      <c r="B23" s="50" t="s">
        <v>231</v>
      </c>
      <c r="C23" s="1">
        <v>147.4</v>
      </c>
      <c r="D23" s="5">
        <v>148</v>
      </c>
      <c r="E23" s="5">
        <v>144.69999999999999</v>
      </c>
      <c r="F23" s="5">
        <v>152.5</v>
      </c>
      <c r="G23" s="5">
        <v>153.81</v>
      </c>
      <c r="H23" s="5">
        <v>123.6</v>
      </c>
      <c r="I23" s="5">
        <v>137.4</v>
      </c>
      <c r="J23" s="5">
        <v>121.69</v>
      </c>
      <c r="K23" s="1">
        <v>138.41</v>
      </c>
    </row>
    <row r="24" spans="2:11" x14ac:dyDescent="0.2">
      <c r="B24" s="49"/>
      <c r="C24" s="1">
        <v>134.9</v>
      </c>
      <c r="D24" s="5">
        <v>140.6</v>
      </c>
      <c r="E24" s="5">
        <v>151.80000000000001</v>
      </c>
      <c r="F24" s="5">
        <v>158.27000000000001</v>
      </c>
      <c r="G24" s="1">
        <v>136.26</v>
      </c>
      <c r="H24" s="5">
        <v>145.19999999999999</v>
      </c>
      <c r="I24" s="5">
        <v>167.5</v>
      </c>
      <c r="J24" s="5">
        <v>126.48</v>
      </c>
      <c r="K24" s="1">
        <v>142.38999999999999</v>
      </c>
    </row>
    <row r="25" spans="2:11" x14ac:dyDescent="0.2">
      <c r="B25" s="49"/>
      <c r="C25" s="1">
        <v>114.9</v>
      </c>
      <c r="D25" s="5">
        <v>153.1</v>
      </c>
      <c r="E25" s="5">
        <v>103.7</v>
      </c>
      <c r="F25" s="5">
        <v>119.39</v>
      </c>
      <c r="G25" s="1">
        <v>137.74</v>
      </c>
      <c r="H25" s="5">
        <v>141.9</v>
      </c>
      <c r="I25" s="5">
        <v>135.30000000000001</v>
      </c>
      <c r="J25" s="5">
        <v>136.6</v>
      </c>
      <c r="K25" s="1">
        <v>145.11000000000001</v>
      </c>
    </row>
    <row r="26" spans="2:11" x14ac:dyDescent="0.2">
      <c r="B26" s="26"/>
      <c r="C26" s="1">
        <v>153.30000000000001</v>
      </c>
      <c r="D26" s="5">
        <v>136.80000000000001</v>
      </c>
      <c r="E26" s="5">
        <v>188.3</v>
      </c>
      <c r="F26" s="5">
        <v>132.84</v>
      </c>
      <c r="G26" s="1">
        <v>167.14</v>
      </c>
      <c r="H26" s="5">
        <v>144.4</v>
      </c>
      <c r="I26" s="5">
        <v>148.80000000000001</v>
      </c>
      <c r="J26" s="5">
        <v>121.7</v>
      </c>
      <c r="K26" s="1">
        <v>121.11</v>
      </c>
    </row>
    <row r="27" spans="2:11" x14ac:dyDescent="0.2">
      <c r="B27" s="50" t="s">
        <v>232</v>
      </c>
      <c r="C27" s="1">
        <v>164.1</v>
      </c>
      <c r="D27" s="1">
        <v>163.4</v>
      </c>
      <c r="E27" s="1">
        <v>159.68</v>
      </c>
      <c r="F27" s="1">
        <v>167.5</v>
      </c>
      <c r="G27" s="1">
        <v>168.8</v>
      </c>
      <c r="H27" s="1">
        <v>138.6</v>
      </c>
      <c r="I27" s="1">
        <v>152.4</v>
      </c>
      <c r="J27" s="1">
        <v>136.69999999999999</v>
      </c>
      <c r="K27" s="1">
        <v>153.47</v>
      </c>
    </row>
    <row r="28" spans="2:11" x14ac:dyDescent="0.2">
      <c r="B28" s="49"/>
      <c r="C28" s="1">
        <v>150.19999999999999</v>
      </c>
      <c r="D28" s="1">
        <v>155.6</v>
      </c>
      <c r="E28" s="1">
        <v>166.8</v>
      </c>
      <c r="F28" s="1">
        <v>173.39</v>
      </c>
      <c r="G28" s="1">
        <v>151.36000000000001</v>
      </c>
      <c r="H28" s="1">
        <v>160.19999999999999</v>
      </c>
      <c r="I28" s="1">
        <v>182.2</v>
      </c>
      <c r="J28" s="1">
        <v>141.5</v>
      </c>
      <c r="K28" s="1">
        <v>157.44</v>
      </c>
    </row>
    <row r="29" spans="2:11" x14ac:dyDescent="0.2">
      <c r="B29" s="49"/>
      <c r="C29" s="1">
        <v>129.75</v>
      </c>
      <c r="D29" s="1">
        <v>168.8</v>
      </c>
      <c r="E29" s="1">
        <v>118.8</v>
      </c>
      <c r="F29" s="1">
        <v>134.75</v>
      </c>
      <c r="G29" s="1">
        <v>152.68</v>
      </c>
      <c r="H29" s="1">
        <v>156.9</v>
      </c>
      <c r="I29" s="1">
        <v>150.43</v>
      </c>
      <c r="J29" s="1">
        <v>151.9</v>
      </c>
      <c r="K29" s="1">
        <v>160.16</v>
      </c>
    </row>
    <row r="30" spans="2:11" x14ac:dyDescent="0.2">
      <c r="B30" s="26"/>
      <c r="C30" s="1">
        <v>168.18</v>
      </c>
      <c r="D30" s="1">
        <v>151.80000000000001</v>
      </c>
      <c r="E30" s="1">
        <v>203.1</v>
      </c>
      <c r="F30" s="1">
        <v>147.9</v>
      </c>
      <c r="G30" s="1">
        <v>182.15</v>
      </c>
      <c r="H30" s="1">
        <v>159.4</v>
      </c>
      <c r="I30" s="1">
        <v>163.6</v>
      </c>
      <c r="J30" s="1">
        <v>136.80000000000001</v>
      </c>
      <c r="K30" s="1">
        <v>136.1</v>
      </c>
    </row>
    <row r="31" spans="2:11" x14ac:dyDescent="0.2">
      <c r="B31" s="7" t="s">
        <v>233</v>
      </c>
      <c r="C31" s="5">
        <v>200.01</v>
      </c>
      <c r="D31" s="5">
        <v>200.87</v>
      </c>
      <c r="E31" s="5">
        <v>192.8</v>
      </c>
      <c r="F31" s="5">
        <v>195.86</v>
      </c>
      <c r="G31" s="5">
        <v>201.43</v>
      </c>
      <c r="H31" s="5">
        <v>192.42</v>
      </c>
      <c r="I31" s="5">
        <v>196.18</v>
      </c>
      <c r="J31" s="5">
        <v>200.24</v>
      </c>
      <c r="K31" s="5">
        <v>198.77</v>
      </c>
    </row>
    <row r="32" spans="2:11" x14ac:dyDescent="0.2">
      <c r="C32" s="5">
        <v>200.6</v>
      </c>
      <c r="D32" s="5">
        <v>200.52</v>
      </c>
      <c r="E32" s="5">
        <v>190.45</v>
      </c>
      <c r="F32" s="5">
        <v>200.51</v>
      </c>
      <c r="G32" s="5">
        <v>197.52</v>
      </c>
      <c r="H32" s="5">
        <v>191.82</v>
      </c>
      <c r="I32" s="5">
        <v>200.7</v>
      </c>
      <c r="J32" s="5">
        <v>200.22</v>
      </c>
      <c r="K32" s="5">
        <v>197.72</v>
      </c>
    </row>
    <row r="33" spans="2:11" x14ac:dyDescent="0.2">
      <c r="C33" s="5">
        <v>200.04</v>
      </c>
      <c r="D33" s="5">
        <v>200.51</v>
      </c>
      <c r="E33" s="5">
        <v>140.88</v>
      </c>
      <c r="F33" s="5">
        <v>200.46</v>
      </c>
      <c r="G33" s="5">
        <v>200.98</v>
      </c>
      <c r="H33" s="5">
        <v>200.47</v>
      </c>
      <c r="I33" s="5">
        <v>200.25</v>
      </c>
      <c r="J33" s="5">
        <v>200.02</v>
      </c>
      <c r="K33" s="5">
        <v>201.65</v>
      </c>
    </row>
    <row r="34" spans="2:11" x14ac:dyDescent="0.2">
      <c r="C34" s="5">
        <v>191.18</v>
      </c>
      <c r="D34" s="5">
        <v>200.19</v>
      </c>
      <c r="E34" s="5">
        <v>200.38</v>
      </c>
      <c r="F34" s="5">
        <v>200.4</v>
      </c>
      <c r="G34" s="5">
        <v>199.23</v>
      </c>
      <c r="H34" s="5">
        <v>200.22</v>
      </c>
      <c r="I34" s="5">
        <v>194.62</v>
      </c>
      <c r="J34" s="5">
        <v>201.1</v>
      </c>
      <c r="K34" s="5">
        <v>200.86</v>
      </c>
    </row>
    <row r="35" spans="2:11" x14ac:dyDescent="0.2">
      <c r="B35" s="1" t="s">
        <v>225</v>
      </c>
      <c r="C35" s="51">
        <f t="shared" ref="C35:K35" si="4">AVERAGE(C23:C34)</f>
        <v>162.88</v>
      </c>
      <c r="D35" s="52">
        <f t="shared" si="4"/>
        <v>168.34916666666666</v>
      </c>
      <c r="E35" s="52">
        <f t="shared" si="4"/>
        <v>163.44916666666666</v>
      </c>
      <c r="F35" s="52">
        <f t="shared" si="4"/>
        <v>165.31416666666669</v>
      </c>
      <c r="G35" s="52">
        <f t="shared" si="4"/>
        <v>170.75833333333333</v>
      </c>
      <c r="H35" s="52">
        <f t="shared" si="4"/>
        <v>162.92749999999998</v>
      </c>
      <c r="I35" s="52">
        <f t="shared" si="4"/>
        <v>169.11500000000001</v>
      </c>
      <c r="J35" s="52">
        <f t="shared" si="4"/>
        <v>156.24583333333331</v>
      </c>
      <c r="K35" s="52">
        <f t="shared" si="4"/>
        <v>162.76583333333335</v>
      </c>
    </row>
    <row r="36" spans="2:11" ht="16" x14ac:dyDescent="0.2">
      <c r="B36" s="28" t="s">
        <v>226</v>
      </c>
      <c r="C36" s="1">
        <f t="shared" ref="C36:K36" si="5">C35/2</f>
        <v>81.44</v>
      </c>
      <c r="D36" s="5">
        <f t="shared" si="5"/>
        <v>84.174583333333331</v>
      </c>
      <c r="E36" s="5">
        <f t="shared" si="5"/>
        <v>81.724583333333328</v>
      </c>
      <c r="F36" s="5">
        <f t="shared" si="5"/>
        <v>82.657083333333347</v>
      </c>
      <c r="G36" s="5">
        <f t="shared" si="5"/>
        <v>85.379166666666663</v>
      </c>
      <c r="H36" s="5">
        <f t="shared" si="5"/>
        <v>81.46374999999999</v>
      </c>
      <c r="I36" s="5">
        <f t="shared" si="5"/>
        <v>84.557500000000005</v>
      </c>
      <c r="J36" s="5">
        <f t="shared" si="5"/>
        <v>78.122916666666654</v>
      </c>
      <c r="K36" s="5">
        <f t="shared" si="5"/>
        <v>81.382916666666674</v>
      </c>
    </row>
    <row r="37" spans="2:11" x14ac:dyDescent="0.2">
      <c r="B37" s="3" t="s">
        <v>280</v>
      </c>
    </row>
    <row r="38" spans="2:11" ht="50" x14ac:dyDescent="0.2">
      <c r="B38" s="8" t="s">
        <v>230</v>
      </c>
      <c r="C38" s="8" t="s">
        <v>149</v>
      </c>
      <c r="D38" s="4" t="s">
        <v>244</v>
      </c>
      <c r="E38" s="8" t="s">
        <v>245</v>
      </c>
      <c r="F38" s="8" t="s">
        <v>246</v>
      </c>
      <c r="G38" s="4" t="s">
        <v>261</v>
      </c>
      <c r="H38" s="4" t="s">
        <v>247</v>
      </c>
      <c r="I38" s="4" t="s">
        <v>248</v>
      </c>
      <c r="J38" s="4" t="s">
        <v>249</v>
      </c>
      <c r="K38" s="4" t="s">
        <v>262</v>
      </c>
    </row>
    <row r="39" spans="2:11" x14ac:dyDescent="0.2">
      <c r="B39" s="50" t="s">
        <v>231</v>
      </c>
      <c r="C39" s="1">
        <v>24.68</v>
      </c>
      <c r="D39" s="1">
        <v>24.32</v>
      </c>
      <c r="E39" s="1">
        <v>26.7</v>
      </c>
      <c r="F39" s="1">
        <v>24.3</v>
      </c>
      <c r="G39" s="1">
        <v>24.81</v>
      </c>
      <c r="H39" s="1">
        <v>22.73</v>
      </c>
      <c r="I39" s="1">
        <v>23.71</v>
      </c>
      <c r="J39" s="1">
        <v>21.11</v>
      </c>
      <c r="K39" s="1">
        <v>24.01</v>
      </c>
    </row>
    <row r="40" spans="2:11" x14ac:dyDescent="0.2">
      <c r="B40" s="49"/>
      <c r="C40" s="1">
        <v>23.21</v>
      </c>
      <c r="D40" s="1">
        <v>22.86</v>
      </c>
      <c r="E40" s="1">
        <v>24.79</v>
      </c>
      <c r="F40" s="1">
        <v>26.33</v>
      </c>
      <c r="G40" s="1">
        <v>22.12</v>
      </c>
      <c r="H40" s="1">
        <v>26.36</v>
      </c>
      <c r="I40" s="1">
        <v>27.77</v>
      </c>
      <c r="J40" s="1">
        <v>20.75</v>
      </c>
      <c r="K40" s="1">
        <v>22.9</v>
      </c>
    </row>
    <row r="41" spans="2:11" x14ac:dyDescent="0.2">
      <c r="B41" s="49"/>
      <c r="C41" s="1">
        <v>20.92</v>
      </c>
      <c r="D41" s="1">
        <v>24.82</v>
      </c>
      <c r="E41" s="1">
        <v>18.47</v>
      </c>
      <c r="F41" s="1">
        <v>19.2</v>
      </c>
      <c r="G41" s="1">
        <v>24.37</v>
      </c>
      <c r="H41" s="1">
        <v>25.81</v>
      </c>
      <c r="I41" s="1">
        <v>22.15</v>
      </c>
      <c r="J41" s="1">
        <v>23.03</v>
      </c>
      <c r="K41" s="1">
        <v>24.32</v>
      </c>
    </row>
    <row r="42" spans="2:11" x14ac:dyDescent="0.2">
      <c r="B42" s="26"/>
      <c r="C42" s="1">
        <v>23.76</v>
      </c>
      <c r="D42" s="1">
        <v>24.56</v>
      </c>
      <c r="E42" s="1">
        <v>28.93</v>
      </c>
      <c r="F42" s="1">
        <v>21.6</v>
      </c>
      <c r="G42" s="1">
        <v>26.7</v>
      </c>
      <c r="H42" s="1">
        <v>25.5</v>
      </c>
      <c r="I42" s="1">
        <v>24.44</v>
      </c>
      <c r="J42" s="1">
        <v>21.13</v>
      </c>
      <c r="K42" s="1">
        <v>22.14</v>
      </c>
    </row>
    <row r="43" spans="2:11" x14ac:dyDescent="0.2">
      <c r="B43" s="50" t="s">
        <v>232</v>
      </c>
      <c r="C43" s="1">
        <v>27.39</v>
      </c>
      <c r="D43" s="1">
        <v>26.74</v>
      </c>
      <c r="E43" s="1">
        <v>27.17</v>
      </c>
      <c r="F43" s="1">
        <v>26.71</v>
      </c>
      <c r="G43" s="1">
        <v>27.22</v>
      </c>
      <c r="H43" s="1">
        <v>23.34</v>
      </c>
      <c r="I43" s="1">
        <v>25.95</v>
      </c>
      <c r="J43" s="1">
        <v>23.4</v>
      </c>
      <c r="K43" s="1">
        <v>26.45</v>
      </c>
    </row>
    <row r="44" spans="2:11" x14ac:dyDescent="0.2">
      <c r="B44" s="49"/>
      <c r="C44" s="1">
        <v>23.47</v>
      </c>
      <c r="D44" s="1">
        <v>24.95</v>
      </c>
      <c r="E44" s="1">
        <v>27.39</v>
      </c>
      <c r="F44" s="1">
        <v>28.7</v>
      </c>
      <c r="G44" s="1">
        <v>24.72</v>
      </c>
      <c r="H44" s="1">
        <v>25.85</v>
      </c>
      <c r="I44" s="1">
        <v>29.92</v>
      </c>
      <c r="J44" s="1">
        <v>23.34</v>
      </c>
      <c r="K44" s="1">
        <v>24.92</v>
      </c>
    </row>
    <row r="45" spans="2:11" x14ac:dyDescent="0.2">
      <c r="B45" s="49"/>
      <c r="C45" s="1">
        <v>21.5</v>
      </c>
      <c r="D45" s="1">
        <v>26.66</v>
      </c>
      <c r="E45" s="1">
        <v>19.489999999999998</v>
      </c>
      <c r="F45" s="1">
        <v>21.53</v>
      </c>
      <c r="G45" s="1">
        <v>24.97</v>
      </c>
      <c r="H45" s="1">
        <v>26.25</v>
      </c>
      <c r="I45" s="1">
        <v>24.48</v>
      </c>
      <c r="J45" s="1">
        <v>24.73</v>
      </c>
      <c r="K45" s="1">
        <v>26.44</v>
      </c>
    </row>
    <row r="46" spans="2:11" x14ac:dyDescent="0.2">
      <c r="B46" s="26"/>
      <c r="C46" s="1">
        <v>28.14</v>
      </c>
      <c r="D46" s="1">
        <v>25.64</v>
      </c>
      <c r="E46" s="1">
        <v>31.1</v>
      </c>
      <c r="F46" s="1">
        <v>24.08</v>
      </c>
      <c r="G46" s="1">
        <v>28.57</v>
      </c>
      <c r="H46" s="1">
        <v>25.53</v>
      </c>
      <c r="I46" s="1">
        <v>26.32</v>
      </c>
      <c r="J46" s="1">
        <v>23.39</v>
      </c>
      <c r="K46" s="1">
        <v>22.77</v>
      </c>
    </row>
    <row r="47" spans="2:11" x14ac:dyDescent="0.2">
      <c r="B47" s="7" t="s">
        <v>233</v>
      </c>
      <c r="C47" s="1">
        <v>24.08</v>
      </c>
      <c r="D47" s="1">
        <v>24.01</v>
      </c>
      <c r="E47" s="1">
        <v>24.05</v>
      </c>
      <c r="F47" s="1">
        <v>23.66</v>
      </c>
      <c r="G47" s="1">
        <v>22.83</v>
      </c>
      <c r="H47" s="5">
        <v>23.5</v>
      </c>
      <c r="I47" s="1">
        <v>23.96</v>
      </c>
      <c r="J47" s="1">
        <v>25.35</v>
      </c>
      <c r="K47" s="1">
        <v>26.65</v>
      </c>
    </row>
    <row r="48" spans="2:11" x14ac:dyDescent="0.2">
      <c r="C48" s="5">
        <v>21.4</v>
      </c>
      <c r="D48" s="1">
        <v>23.49</v>
      </c>
      <c r="E48" s="1">
        <v>23.16</v>
      </c>
      <c r="F48" s="1">
        <v>23.59</v>
      </c>
      <c r="G48" s="1">
        <v>23.36</v>
      </c>
      <c r="H48" s="1">
        <v>24.64</v>
      </c>
      <c r="I48" s="1">
        <v>23.27</v>
      </c>
      <c r="J48" s="1">
        <v>24.12</v>
      </c>
      <c r="K48" s="1">
        <v>23.06</v>
      </c>
    </row>
    <row r="49" spans="2:11" x14ac:dyDescent="0.2">
      <c r="C49" s="1">
        <v>24.05</v>
      </c>
      <c r="D49" s="1">
        <v>24.01</v>
      </c>
      <c r="E49" s="1">
        <v>17.66</v>
      </c>
      <c r="F49" s="1">
        <v>23.33</v>
      </c>
      <c r="G49" s="1">
        <v>24.85</v>
      </c>
      <c r="H49" s="1">
        <v>25.45</v>
      </c>
      <c r="I49" s="1">
        <v>22.94</v>
      </c>
      <c r="J49" s="1">
        <v>22.77</v>
      </c>
      <c r="K49" s="1">
        <v>22.84</v>
      </c>
    </row>
    <row r="50" spans="2:11" x14ac:dyDescent="0.2">
      <c r="C50" s="1">
        <v>22.85</v>
      </c>
      <c r="D50" s="1">
        <v>23.33</v>
      </c>
      <c r="E50" s="1">
        <v>22.24</v>
      </c>
      <c r="F50" s="1">
        <v>23.58</v>
      </c>
      <c r="G50" s="1">
        <v>24.17</v>
      </c>
      <c r="H50" s="1">
        <v>24.97</v>
      </c>
      <c r="I50" s="1">
        <v>23.35</v>
      </c>
      <c r="J50" s="5">
        <v>24.8</v>
      </c>
      <c r="K50" s="1">
        <v>25.87</v>
      </c>
    </row>
    <row r="51" spans="2:11" x14ac:dyDescent="0.2">
      <c r="B51" s="1" t="s">
        <v>225</v>
      </c>
      <c r="C51" s="74">
        <f>AVERAGE(C39:C50)</f>
        <v>23.787499999999998</v>
      </c>
      <c r="D51" s="74">
        <f t="shared" ref="D51:K51" si="6">AVERAGE(D39:D50)</f>
        <v>24.615833333333331</v>
      </c>
      <c r="E51" s="74">
        <f t="shared" si="6"/>
        <v>24.262500000000003</v>
      </c>
      <c r="F51" s="74">
        <f t="shared" si="6"/>
        <v>23.884166666666662</v>
      </c>
      <c r="G51" s="74">
        <f t="shared" si="6"/>
        <v>24.890833333333337</v>
      </c>
      <c r="H51" s="74">
        <f t="shared" si="6"/>
        <v>24.994166666666661</v>
      </c>
      <c r="I51" s="74">
        <f t="shared" si="6"/>
        <v>24.855000000000004</v>
      </c>
      <c r="J51" s="74">
        <f t="shared" si="6"/>
        <v>23.16</v>
      </c>
      <c r="K51" s="74">
        <f t="shared" si="6"/>
        <v>24.364166666666666</v>
      </c>
    </row>
    <row r="52" spans="2:11" ht="16" x14ac:dyDescent="0.2">
      <c r="B52" s="28" t="s">
        <v>226</v>
      </c>
      <c r="C52" s="74">
        <f>C51/2</f>
        <v>11.893749999999999</v>
      </c>
      <c r="D52" s="74">
        <f t="shared" ref="D52:K52" si="7">D51/2</f>
        <v>12.307916666666666</v>
      </c>
      <c r="E52" s="74">
        <f t="shared" si="7"/>
        <v>12.131250000000001</v>
      </c>
      <c r="F52" s="74">
        <f t="shared" si="7"/>
        <v>11.942083333333331</v>
      </c>
      <c r="G52" s="74">
        <f t="shared" si="7"/>
        <v>12.445416666666668</v>
      </c>
      <c r="H52" s="74">
        <f t="shared" si="7"/>
        <v>12.497083333333331</v>
      </c>
      <c r="I52" s="74">
        <f t="shared" si="7"/>
        <v>12.427500000000002</v>
      </c>
      <c r="J52" s="74">
        <f t="shared" si="7"/>
        <v>11.58</v>
      </c>
      <c r="K52" s="74">
        <f t="shared" si="7"/>
        <v>12.182083333333333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4"/>
  <sheetViews>
    <sheetView workbookViewId="0">
      <selection activeCell="M9" sqref="M9"/>
    </sheetView>
  </sheetViews>
  <sheetFormatPr baseColWidth="10" defaultRowHeight="15" x14ac:dyDescent="0.2"/>
  <cols>
    <col min="6" max="6" width="12.33203125" bestFit="1" customWidth="1"/>
    <col min="13" max="13" width="16.6640625" customWidth="1"/>
    <col min="14" max="14" width="13.5" customWidth="1"/>
  </cols>
  <sheetData>
    <row r="2" spans="2:16" ht="16" thickBot="1" x14ac:dyDescent="0.25"/>
    <row r="3" spans="2:16" ht="63" thickBot="1" x14ac:dyDescent="0.25">
      <c r="B3" s="31" t="s">
        <v>13</v>
      </c>
      <c r="C3" s="31" t="s">
        <v>14</v>
      </c>
      <c r="D3" s="31" t="s">
        <v>15</v>
      </c>
      <c r="E3" s="85" t="s">
        <v>16</v>
      </c>
      <c r="F3" s="85"/>
      <c r="G3" s="31" t="s">
        <v>17</v>
      </c>
      <c r="H3" s="31" t="s">
        <v>18</v>
      </c>
      <c r="I3" s="31" t="s">
        <v>19</v>
      </c>
      <c r="J3" s="31" t="s">
        <v>20</v>
      </c>
      <c r="K3" s="85" t="s">
        <v>21</v>
      </c>
      <c r="L3" s="85"/>
      <c r="M3" s="31" t="s">
        <v>22</v>
      </c>
      <c r="N3" s="31" t="s">
        <v>23</v>
      </c>
      <c r="O3" s="85" t="s">
        <v>24</v>
      </c>
      <c r="P3" s="85"/>
    </row>
    <row r="4" spans="2:16" ht="19" thickBot="1" x14ac:dyDescent="0.25">
      <c r="B4" s="32" t="s">
        <v>0</v>
      </c>
    </row>
    <row r="5" spans="2:16" ht="19" thickBot="1" x14ac:dyDescent="0.25">
      <c r="B5" s="42" t="s">
        <v>4</v>
      </c>
    </row>
    <row r="6" spans="2:16" ht="19" thickBot="1" x14ac:dyDescent="0.25">
      <c r="B6" s="32" t="s">
        <v>7</v>
      </c>
    </row>
    <row r="7" spans="2:16" ht="19" thickBot="1" x14ac:dyDescent="0.25">
      <c r="B7" s="42" t="s">
        <v>10</v>
      </c>
    </row>
    <row r="8" spans="2:16" ht="19" thickBot="1" x14ac:dyDescent="0.25">
      <c r="B8" s="32"/>
      <c r="C8" s="33"/>
      <c r="D8" s="34"/>
      <c r="E8" s="33"/>
      <c r="F8" s="35"/>
      <c r="G8" s="36"/>
      <c r="H8" s="37"/>
      <c r="I8" s="38"/>
      <c r="J8" s="39"/>
      <c r="K8" s="33"/>
      <c r="L8" s="40" t="s">
        <v>145</v>
      </c>
      <c r="N8" s="40"/>
      <c r="O8" s="33"/>
      <c r="P8" s="41"/>
    </row>
    <row r="9" spans="2:16" ht="19" thickBot="1" x14ac:dyDescent="0.25">
      <c r="B9" s="32"/>
      <c r="C9" s="33"/>
      <c r="D9" s="34"/>
      <c r="E9" s="33"/>
      <c r="F9" s="35"/>
      <c r="G9" s="36"/>
      <c r="H9" s="37"/>
      <c r="I9" s="38"/>
      <c r="J9" s="39"/>
      <c r="K9" s="33"/>
      <c r="L9" s="40" t="s">
        <v>146</v>
      </c>
      <c r="N9" s="40"/>
      <c r="O9" s="33"/>
      <c r="P9" s="41"/>
    </row>
    <row r="10" spans="2:16" ht="19" thickBot="1" x14ac:dyDescent="0.25">
      <c r="B10" s="32"/>
      <c r="C10" s="33"/>
      <c r="D10" s="34"/>
      <c r="E10" s="33"/>
      <c r="F10" s="35"/>
      <c r="G10" s="36"/>
      <c r="H10" s="37"/>
      <c r="I10" s="38"/>
      <c r="J10" s="39"/>
      <c r="K10" s="33"/>
      <c r="L10" s="40" t="s">
        <v>147</v>
      </c>
      <c r="N10" s="40"/>
      <c r="O10" s="33"/>
      <c r="P10" s="41"/>
    </row>
    <row r="11" spans="2:16" ht="19" thickBot="1" x14ac:dyDescent="0.25">
      <c r="B11" s="43" t="s">
        <v>2</v>
      </c>
    </row>
    <row r="12" spans="2:16" ht="19" thickBot="1" x14ac:dyDescent="0.25">
      <c r="B12" s="43" t="s">
        <v>5</v>
      </c>
    </row>
    <row r="13" spans="2:16" ht="19" thickBot="1" x14ac:dyDescent="0.25">
      <c r="B13" s="43" t="s">
        <v>8</v>
      </c>
    </row>
    <row r="14" spans="2:16" ht="19" thickBot="1" x14ac:dyDescent="0.25">
      <c r="B14" s="43" t="s">
        <v>11</v>
      </c>
    </row>
    <row r="15" spans="2:16" ht="19" thickBot="1" x14ac:dyDescent="0.25">
      <c r="B15" s="32"/>
      <c r="C15" s="33"/>
      <c r="D15" s="34"/>
      <c r="E15" s="33"/>
      <c r="F15" s="35"/>
      <c r="G15" s="36"/>
      <c r="H15" s="37"/>
      <c r="I15" s="38"/>
      <c r="J15" s="39"/>
      <c r="K15" s="33"/>
      <c r="L15" s="40" t="s">
        <v>145</v>
      </c>
      <c r="N15" s="40"/>
      <c r="O15" s="33"/>
      <c r="P15" s="41"/>
    </row>
    <row r="16" spans="2:16" ht="19" thickBot="1" x14ac:dyDescent="0.25">
      <c r="B16" s="32"/>
      <c r="C16" s="33"/>
      <c r="D16" s="34"/>
      <c r="E16" s="33"/>
      <c r="F16" s="35"/>
      <c r="G16" s="36"/>
      <c r="H16" s="37"/>
      <c r="I16" s="38"/>
      <c r="J16" s="39"/>
      <c r="K16" s="33"/>
      <c r="L16" s="40" t="s">
        <v>146</v>
      </c>
      <c r="N16" s="40"/>
      <c r="O16" s="33"/>
      <c r="P16" s="41"/>
    </row>
    <row r="17" spans="2:16" ht="19" thickBot="1" x14ac:dyDescent="0.25">
      <c r="B17" s="32"/>
      <c r="C17" s="33"/>
      <c r="D17" s="34"/>
      <c r="E17" s="33"/>
      <c r="F17" s="35"/>
      <c r="G17" s="36"/>
      <c r="H17" s="37"/>
      <c r="I17" s="38"/>
      <c r="J17" s="39"/>
      <c r="K17" s="33"/>
      <c r="L17" s="40" t="s">
        <v>147</v>
      </c>
      <c r="N17" s="40"/>
      <c r="O17" s="33"/>
      <c r="P17" s="41"/>
    </row>
    <row r="18" spans="2:16" ht="19" thickBot="1" x14ac:dyDescent="0.25">
      <c r="B18" s="32" t="s">
        <v>3</v>
      </c>
    </row>
    <row r="19" spans="2:16" ht="19" thickBot="1" x14ac:dyDescent="0.25">
      <c r="B19" s="42" t="s">
        <v>6</v>
      </c>
    </row>
    <row r="20" spans="2:16" ht="19" thickBot="1" x14ac:dyDescent="0.25">
      <c r="B20" s="32" t="s">
        <v>9</v>
      </c>
    </row>
    <row r="21" spans="2:16" ht="19" thickBot="1" x14ac:dyDescent="0.25">
      <c r="B21" s="42" t="s">
        <v>12</v>
      </c>
    </row>
    <row r="22" spans="2:16" ht="19" thickBot="1" x14ac:dyDescent="0.25">
      <c r="L22" s="40" t="s">
        <v>145</v>
      </c>
    </row>
    <row r="23" spans="2:16" ht="19" thickBot="1" x14ac:dyDescent="0.25">
      <c r="L23" s="40" t="s">
        <v>146</v>
      </c>
    </row>
    <row r="24" spans="2:16" ht="19" thickBot="1" x14ac:dyDescent="0.25">
      <c r="L24" s="40" t="s">
        <v>147</v>
      </c>
    </row>
  </sheetData>
  <mergeCells count="3">
    <mergeCell ref="E3:F3"/>
    <mergeCell ref="K3:L3"/>
    <mergeCell ref="O3:P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4"/>
  <sheetViews>
    <sheetView workbookViewId="0">
      <selection activeCell="M9" sqref="M9"/>
    </sheetView>
  </sheetViews>
  <sheetFormatPr baseColWidth="10" defaultRowHeight="15" x14ac:dyDescent="0.2"/>
  <cols>
    <col min="6" max="6" width="12.33203125" bestFit="1" customWidth="1"/>
  </cols>
  <sheetData>
    <row r="2" spans="2:16" ht="16" thickBot="1" x14ac:dyDescent="0.25"/>
    <row r="3" spans="2:16" ht="63" thickBot="1" x14ac:dyDescent="0.25">
      <c r="B3" s="31" t="s">
        <v>13</v>
      </c>
      <c r="C3" s="31" t="s">
        <v>14</v>
      </c>
      <c r="D3" s="31" t="s">
        <v>15</v>
      </c>
      <c r="E3" s="85" t="s">
        <v>16</v>
      </c>
      <c r="F3" s="85"/>
      <c r="G3" s="31" t="s">
        <v>17</v>
      </c>
      <c r="H3" s="31" t="s">
        <v>18</v>
      </c>
      <c r="I3" s="31" t="s">
        <v>19</v>
      </c>
      <c r="J3" s="31" t="s">
        <v>20</v>
      </c>
      <c r="K3" s="85" t="s">
        <v>21</v>
      </c>
      <c r="L3" s="85"/>
      <c r="M3" s="31" t="s">
        <v>22</v>
      </c>
      <c r="N3" s="31" t="s">
        <v>23</v>
      </c>
      <c r="O3" s="85" t="s">
        <v>24</v>
      </c>
      <c r="P3" s="85"/>
    </row>
    <row r="4" spans="2:16" ht="19" thickBot="1" x14ac:dyDescent="0.25">
      <c r="B4" s="32" t="s">
        <v>25</v>
      </c>
    </row>
    <row r="5" spans="2:16" ht="19" thickBot="1" x14ac:dyDescent="0.25">
      <c r="B5" s="42" t="s">
        <v>28</v>
      </c>
    </row>
    <row r="6" spans="2:16" ht="19" thickBot="1" x14ac:dyDescent="0.25">
      <c r="B6" s="32" t="s">
        <v>31</v>
      </c>
    </row>
    <row r="7" spans="2:16" ht="19" thickBot="1" x14ac:dyDescent="0.25">
      <c r="B7" s="42" t="s">
        <v>34</v>
      </c>
    </row>
    <row r="8" spans="2:16" ht="19" thickBot="1" x14ac:dyDescent="0.25">
      <c r="B8" s="32"/>
      <c r="C8" s="33"/>
      <c r="D8" s="34"/>
      <c r="E8" s="33"/>
      <c r="F8" s="35"/>
      <c r="G8" s="36"/>
      <c r="H8" s="37"/>
      <c r="I8" s="53"/>
      <c r="J8" s="39"/>
      <c r="K8" s="33"/>
      <c r="L8" s="40" t="s">
        <v>145</v>
      </c>
      <c r="N8" s="40"/>
      <c r="O8" s="33"/>
      <c r="P8" s="41"/>
    </row>
    <row r="9" spans="2:16" ht="19" thickBot="1" x14ac:dyDescent="0.25">
      <c r="B9" s="32"/>
      <c r="C9" s="33"/>
      <c r="D9" s="34"/>
      <c r="E9" s="33"/>
      <c r="F9" s="35"/>
      <c r="G9" s="36"/>
      <c r="H9" s="37"/>
      <c r="I9" s="53"/>
      <c r="J9" s="39"/>
      <c r="K9" s="33"/>
      <c r="L9" s="40" t="s">
        <v>146</v>
      </c>
      <c r="N9" s="40"/>
      <c r="O9" s="33"/>
      <c r="P9" s="41"/>
    </row>
    <row r="10" spans="2:16" ht="19" thickBot="1" x14ac:dyDescent="0.25">
      <c r="B10" s="32"/>
      <c r="C10" s="33"/>
      <c r="D10" s="34"/>
      <c r="E10" s="33"/>
      <c r="F10" s="35"/>
      <c r="G10" s="36"/>
      <c r="H10" s="37"/>
      <c r="I10" s="53"/>
      <c r="J10" s="39"/>
      <c r="K10" s="33"/>
      <c r="L10" s="40" t="s">
        <v>147</v>
      </c>
      <c r="N10" s="40"/>
      <c r="O10" s="33"/>
      <c r="P10" s="41"/>
    </row>
    <row r="11" spans="2:16" ht="19" thickBot="1" x14ac:dyDescent="0.25">
      <c r="B11" s="43" t="s">
        <v>26</v>
      </c>
    </row>
    <row r="12" spans="2:16" ht="19" thickBot="1" x14ac:dyDescent="0.25">
      <c r="B12" s="43" t="s">
        <v>29</v>
      </c>
    </row>
    <row r="13" spans="2:16" ht="19" thickBot="1" x14ac:dyDescent="0.25">
      <c r="B13" s="43" t="s">
        <v>32</v>
      </c>
    </row>
    <row r="14" spans="2:16" ht="19" thickBot="1" x14ac:dyDescent="0.25">
      <c r="B14" s="43" t="s">
        <v>35</v>
      </c>
    </row>
    <row r="15" spans="2:16" ht="19" thickBot="1" x14ac:dyDescent="0.25">
      <c r="B15" s="32"/>
      <c r="C15" s="33"/>
      <c r="D15" s="34"/>
      <c r="E15" s="33"/>
      <c r="F15" s="35"/>
      <c r="G15" s="36"/>
      <c r="H15" s="37"/>
      <c r="I15" s="53"/>
      <c r="J15" s="39"/>
      <c r="K15" s="33"/>
      <c r="L15" s="40" t="s">
        <v>145</v>
      </c>
      <c r="N15" s="40"/>
      <c r="O15" s="33"/>
      <c r="P15" s="41"/>
    </row>
    <row r="16" spans="2:16" ht="19" thickBot="1" x14ac:dyDescent="0.25">
      <c r="B16" s="32"/>
      <c r="C16" s="33"/>
      <c r="D16" s="34"/>
      <c r="E16" s="33"/>
      <c r="F16" s="35"/>
      <c r="G16" s="36"/>
      <c r="H16" s="37"/>
      <c r="I16" s="53"/>
      <c r="J16" s="39"/>
      <c r="K16" s="33"/>
      <c r="L16" s="40" t="s">
        <v>146</v>
      </c>
      <c r="N16" s="40"/>
      <c r="O16" s="33"/>
      <c r="P16" s="41"/>
    </row>
    <row r="17" spans="2:16" ht="19" thickBot="1" x14ac:dyDescent="0.25">
      <c r="B17" s="32"/>
      <c r="C17" s="33"/>
      <c r="D17" s="34"/>
      <c r="E17" s="33"/>
      <c r="F17" s="35"/>
      <c r="G17" s="36"/>
      <c r="H17" s="37"/>
      <c r="I17" s="53"/>
      <c r="J17" s="39"/>
      <c r="K17" s="33"/>
      <c r="L17" s="40" t="s">
        <v>147</v>
      </c>
      <c r="N17" s="40"/>
      <c r="O17" s="33"/>
      <c r="P17" s="41"/>
    </row>
    <row r="18" spans="2:16" ht="19" thickBot="1" x14ac:dyDescent="0.25">
      <c r="B18" s="32" t="s">
        <v>27</v>
      </c>
    </row>
    <row r="19" spans="2:16" ht="19" thickBot="1" x14ac:dyDescent="0.25">
      <c r="B19" s="42" t="s">
        <v>30</v>
      </c>
    </row>
    <row r="20" spans="2:16" ht="19" thickBot="1" x14ac:dyDescent="0.25">
      <c r="B20" s="32" t="s">
        <v>33</v>
      </c>
    </row>
    <row r="21" spans="2:16" ht="19" thickBot="1" x14ac:dyDescent="0.25">
      <c r="B21" s="42" t="s">
        <v>36</v>
      </c>
    </row>
    <row r="22" spans="2:16" ht="19" thickBot="1" x14ac:dyDescent="0.25">
      <c r="L22" s="40" t="s">
        <v>145</v>
      </c>
    </row>
    <row r="23" spans="2:16" ht="19" thickBot="1" x14ac:dyDescent="0.25">
      <c r="L23" s="40" t="s">
        <v>146</v>
      </c>
    </row>
    <row r="24" spans="2:16" ht="19" thickBot="1" x14ac:dyDescent="0.25">
      <c r="L24" s="40" t="s">
        <v>147</v>
      </c>
    </row>
  </sheetData>
  <mergeCells count="3">
    <mergeCell ref="E3:F3"/>
    <mergeCell ref="K3:L3"/>
    <mergeCell ref="O3:P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24"/>
  <sheetViews>
    <sheetView topLeftCell="A3" workbookViewId="0">
      <selection activeCell="M9" sqref="M9"/>
    </sheetView>
  </sheetViews>
  <sheetFormatPr baseColWidth="10" defaultRowHeight="15" x14ac:dyDescent="0.2"/>
  <cols>
    <col min="6" max="6" width="12.33203125" bestFit="1" customWidth="1"/>
    <col min="13" max="13" width="12.1640625" bestFit="1" customWidth="1"/>
  </cols>
  <sheetData>
    <row r="2" spans="2:16" ht="16" thickBot="1" x14ac:dyDescent="0.25"/>
    <row r="3" spans="2:16" ht="65" thickBot="1" x14ac:dyDescent="0.25">
      <c r="B3" s="31" t="s">
        <v>13</v>
      </c>
      <c r="C3" s="31" t="s">
        <v>14</v>
      </c>
      <c r="D3" s="31" t="s">
        <v>15</v>
      </c>
      <c r="E3" s="85" t="s">
        <v>16</v>
      </c>
      <c r="F3" s="85"/>
      <c r="G3" s="31" t="s">
        <v>17</v>
      </c>
      <c r="H3" s="31" t="s">
        <v>18</v>
      </c>
      <c r="I3" s="31" t="s">
        <v>19</v>
      </c>
      <c r="J3" s="31" t="s">
        <v>20</v>
      </c>
      <c r="K3" s="85" t="s">
        <v>21</v>
      </c>
      <c r="L3" s="85"/>
      <c r="M3" s="31" t="s">
        <v>22</v>
      </c>
      <c r="N3" s="31" t="s">
        <v>23</v>
      </c>
      <c r="O3" s="85" t="s">
        <v>24</v>
      </c>
      <c r="P3" s="85"/>
    </row>
    <row r="4" spans="2:16" ht="19" thickBot="1" x14ac:dyDescent="0.25">
      <c r="B4" s="32" t="s">
        <v>37</v>
      </c>
    </row>
    <row r="5" spans="2:16" ht="19" thickBot="1" x14ac:dyDescent="0.25">
      <c r="B5" s="42" t="s">
        <v>40</v>
      </c>
    </row>
    <row r="6" spans="2:16" ht="19" thickBot="1" x14ac:dyDescent="0.25">
      <c r="B6" s="32" t="s">
        <v>43</v>
      </c>
    </row>
    <row r="7" spans="2:16" ht="19" thickBot="1" x14ac:dyDescent="0.25">
      <c r="B7" s="42" t="s">
        <v>46</v>
      </c>
    </row>
    <row r="8" spans="2:16" ht="19" thickBot="1" x14ac:dyDescent="0.25">
      <c r="B8" s="32"/>
      <c r="C8" s="33"/>
      <c r="D8" s="34"/>
      <c r="E8" s="33"/>
      <c r="F8" s="35"/>
      <c r="G8" s="36"/>
      <c r="H8" s="37"/>
      <c r="I8" s="53"/>
      <c r="J8" s="39"/>
      <c r="K8" s="33"/>
      <c r="L8" s="40" t="s">
        <v>145</v>
      </c>
      <c r="N8" s="40"/>
      <c r="O8" s="33"/>
      <c r="P8" s="41"/>
    </row>
    <row r="9" spans="2:16" ht="19" thickBot="1" x14ac:dyDescent="0.25">
      <c r="B9" s="32"/>
      <c r="C9" s="33"/>
      <c r="D9" s="34"/>
      <c r="E9" s="33"/>
      <c r="F9" s="35"/>
      <c r="G9" s="36"/>
      <c r="H9" s="37"/>
      <c r="I9" s="53"/>
      <c r="J9" s="39"/>
      <c r="K9" s="33"/>
      <c r="L9" s="40" t="s">
        <v>146</v>
      </c>
      <c r="N9" s="40"/>
      <c r="O9" s="33"/>
      <c r="P9" s="41"/>
    </row>
    <row r="10" spans="2:16" ht="19" thickBot="1" x14ac:dyDescent="0.25">
      <c r="B10" s="32"/>
      <c r="C10" s="33"/>
      <c r="D10" s="34"/>
      <c r="E10" s="33"/>
      <c r="F10" s="35"/>
      <c r="G10" s="36"/>
      <c r="H10" s="37"/>
      <c r="I10" s="53"/>
      <c r="J10" s="39"/>
      <c r="K10" s="33"/>
      <c r="L10" s="40" t="s">
        <v>147</v>
      </c>
      <c r="N10" s="40"/>
      <c r="O10" s="33"/>
      <c r="P10" s="41"/>
    </row>
    <row r="11" spans="2:16" ht="19" thickBot="1" x14ac:dyDescent="0.25">
      <c r="B11" s="43" t="s">
        <v>38</v>
      </c>
    </row>
    <row r="12" spans="2:16" ht="19" thickBot="1" x14ac:dyDescent="0.25">
      <c r="B12" s="43" t="s">
        <v>41</v>
      </c>
    </row>
    <row r="13" spans="2:16" ht="19" thickBot="1" x14ac:dyDescent="0.25">
      <c r="B13" s="43" t="s">
        <v>44</v>
      </c>
    </row>
    <row r="14" spans="2:16" ht="19" thickBot="1" x14ac:dyDescent="0.25">
      <c r="B14" s="43" t="s">
        <v>47</v>
      </c>
    </row>
    <row r="15" spans="2:16" ht="19" thickBot="1" x14ac:dyDescent="0.25">
      <c r="B15" s="32"/>
      <c r="C15" s="33"/>
      <c r="D15" s="34"/>
      <c r="E15" s="45"/>
      <c r="F15" s="35"/>
      <c r="G15" s="36"/>
      <c r="H15" s="37"/>
      <c r="I15" s="53"/>
      <c r="J15" s="39"/>
      <c r="K15" s="33"/>
      <c r="L15" s="40" t="s">
        <v>145</v>
      </c>
      <c r="N15" s="40"/>
      <c r="O15" s="33"/>
      <c r="P15" s="41"/>
    </row>
    <row r="16" spans="2:16" ht="19" thickBot="1" x14ac:dyDescent="0.25">
      <c r="B16" s="32"/>
      <c r="C16" s="33"/>
      <c r="D16" s="34"/>
      <c r="E16" s="45"/>
      <c r="F16" s="35"/>
      <c r="G16" s="36"/>
      <c r="H16" s="37"/>
      <c r="I16" s="53"/>
      <c r="J16" s="39"/>
      <c r="K16" s="33"/>
      <c r="L16" s="40" t="s">
        <v>146</v>
      </c>
      <c r="N16" s="40"/>
      <c r="O16" s="33"/>
      <c r="P16" s="41"/>
    </row>
    <row r="17" spans="2:16" ht="19" thickBot="1" x14ac:dyDescent="0.25">
      <c r="B17" s="32"/>
      <c r="C17" s="33"/>
      <c r="D17" s="34"/>
      <c r="E17" s="45"/>
      <c r="F17" s="35"/>
      <c r="G17" s="36"/>
      <c r="H17" s="37"/>
      <c r="I17" s="53"/>
      <c r="J17" s="39"/>
      <c r="K17" s="33"/>
      <c r="L17" s="40" t="s">
        <v>147</v>
      </c>
      <c r="N17" s="40"/>
      <c r="O17" s="33"/>
      <c r="P17" s="41"/>
    </row>
    <row r="18" spans="2:16" ht="19" thickBot="1" x14ac:dyDescent="0.25">
      <c r="B18" s="32" t="s">
        <v>39</v>
      </c>
    </row>
    <row r="19" spans="2:16" ht="19" thickBot="1" x14ac:dyDescent="0.25">
      <c r="B19" s="42" t="s">
        <v>42</v>
      </c>
    </row>
    <row r="20" spans="2:16" ht="19" thickBot="1" x14ac:dyDescent="0.25">
      <c r="B20" s="32" t="s">
        <v>45</v>
      </c>
    </row>
    <row r="21" spans="2:16" ht="19" thickBot="1" x14ac:dyDescent="0.25">
      <c r="B21" s="42" t="s">
        <v>48</v>
      </c>
    </row>
    <row r="22" spans="2:16" ht="19" thickBot="1" x14ac:dyDescent="0.25">
      <c r="L22" s="40" t="s">
        <v>145</v>
      </c>
    </row>
    <row r="23" spans="2:16" ht="19" thickBot="1" x14ac:dyDescent="0.25">
      <c r="L23" s="40" t="s">
        <v>146</v>
      </c>
    </row>
    <row r="24" spans="2:16" ht="19" thickBot="1" x14ac:dyDescent="0.25">
      <c r="L24" s="40" t="s">
        <v>147</v>
      </c>
    </row>
  </sheetData>
  <mergeCells count="3">
    <mergeCell ref="E3:F3"/>
    <mergeCell ref="K3:L3"/>
    <mergeCell ref="O3:P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4"/>
  <sheetViews>
    <sheetView workbookViewId="0">
      <selection activeCell="M9" sqref="M9"/>
    </sheetView>
  </sheetViews>
  <sheetFormatPr baseColWidth="10" defaultRowHeight="15" x14ac:dyDescent="0.2"/>
  <cols>
    <col min="6" max="6" width="12.33203125" bestFit="1" customWidth="1"/>
  </cols>
  <sheetData>
    <row r="2" spans="2:16" ht="16" thickBot="1" x14ac:dyDescent="0.25"/>
    <row r="3" spans="2:16" ht="63" thickBot="1" x14ac:dyDescent="0.25">
      <c r="B3" s="31" t="s">
        <v>13</v>
      </c>
      <c r="C3" s="31" t="s">
        <v>14</v>
      </c>
      <c r="D3" s="31" t="s">
        <v>15</v>
      </c>
      <c r="E3" s="85" t="s">
        <v>16</v>
      </c>
      <c r="F3" s="85"/>
      <c r="G3" s="31" t="s">
        <v>17</v>
      </c>
      <c r="H3" s="31" t="s">
        <v>18</v>
      </c>
      <c r="I3" s="31" t="s">
        <v>19</v>
      </c>
      <c r="J3" s="31" t="s">
        <v>20</v>
      </c>
      <c r="K3" s="85" t="s">
        <v>21</v>
      </c>
      <c r="L3" s="85"/>
      <c r="M3" s="31" t="s">
        <v>22</v>
      </c>
      <c r="N3" s="31" t="s">
        <v>23</v>
      </c>
      <c r="O3" s="85" t="s">
        <v>24</v>
      </c>
      <c r="P3" s="85"/>
    </row>
    <row r="4" spans="2:16" ht="19" thickBot="1" x14ac:dyDescent="0.25">
      <c r="B4" s="32" t="s">
        <v>61</v>
      </c>
    </row>
    <row r="5" spans="2:16" ht="19" thickBot="1" x14ac:dyDescent="0.25">
      <c r="B5" s="42" t="s">
        <v>64</v>
      </c>
    </row>
    <row r="6" spans="2:16" ht="19" thickBot="1" x14ac:dyDescent="0.25">
      <c r="B6" s="32" t="s">
        <v>67</v>
      </c>
    </row>
    <row r="7" spans="2:16" ht="19" thickBot="1" x14ac:dyDescent="0.25">
      <c r="B7" s="42" t="s">
        <v>70</v>
      </c>
    </row>
    <row r="8" spans="2:16" ht="19" thickBot="1" x14ac:dyDescent="0.25">
      <c r="B8" s="32"/>
      <c r="C8" s="33"/>
      <c r="D8" s="34"/>
      <c r="E8" s="33"/>
      <c r="F8" s="35"/>
      <c r="G8" s="36"/>
      <c r="H8" s="37"/>
      <c r="I8" s="53"/>
      <c r="J8" s="39"/>
      <c r="K8" s="33"/>
      <c r="L8" s="40" t="s">
        <v>145</v>
      </c>
      <c r="N8" s="40"/>
      <c r="O8" s="33"/>
      <c r="P8" s="41"/>
    </row>
    <row r="9" spans="2:16" ht="19" thickBot="1" x14ac:dyDescent="0.25">
      <c r="B9" s="32"/>
      <c r="C9" s="33"/>
      <c r="D9" s="34"/>
      <c r="E9" s="33"/>
      <c r="F9" s="35"/>
      <c r="G9" s="36"/>
      <c r="H9" s="37"/>
      <c r="I9" s="53"/>
      <c r="J9" s="39"/>
      <c r="K9" s="33"/>
      <c r="L9" s="40" t="s">
        <v>146</v>
      </c>
      <c r="N9" s="40"/>
      <c r="O9" s="33"/>
      <c r="P9" s="41"/>
    </row>
    <row r="10" spans="2:16" ht="19" thickBot="1" x14ac:dyDescent="0.25">
      <c r="B10" s="32"/>
      <c r="C10" s="33"/>
      <c r="D10" s="34"/>
      <c r="E10" s="33"/>
      <c r="F10" s="35"/>
      <c r="G10" s="36"/>
      <c r="H10" s="37"/>
      <c r="I10" s="53"/>
      <c r="J10" s="39"/>
      <c r="K10" s="33"/>
      <c r="L10" s="40" t="s">
        <v>147</v>
      </c>
      <c r="N10" s="40"/>
      <c r="O10" s="33"/>
      <c r="P10" s="41"/>
    </row>
    <row r="11" spans="2:16" ht="19" thickBot="1" x14ac:dyDescent="0.25">
      <c r="B11" s="43" t="s">
        <v>62</v>
      </c>
    </row>
    <row r="12" spans="2:16" ht="19" thickBot="1" x14ac:dyDescent="0.25">
      <c r="B12" s="44" t="s">
        <v>65</v>
      </c>
    </row>
    <row r="13" spans="2:16" ht="19" thickBot="1" x14ac:dyDescent="0.25">
      <c r="B13" s="43" t="s">
        <v>68</v>
      </c>
    </row>
    <row r="14" spans="2:16" ht="19" thickBot="1" x14ac:dyDescent="0.25">
      <c r="B14" s="43" t="s">
        <v>71</v>
      </c>
    </row>
    <row r="15" spans="2:16" ht="19" thickBot="1" x14ac:dyDescent="0.25">
      <c r="B15" s="32"/>
      <c r="C15" s="33"/>
      <c r="D15" s="34"/>
      <c r="E15" s="33"/>
      <c r="F15" s="35"/>
      <c r="G15" s="36"/>
      <c r="H15" s="37"/>
      <c r="I15" s="53"/>
      <c r="J15" s="39"/>
      <c r="K15" s="33"/>
      <c r="L15" s="40" t="s">
        <v>145</v>
      </c>
      <c r="N15" s="40"/>
      <c r="O15" s="33"/>
      <c r="P15" s="41"/>
    </row>
    <row r="16" spans="2:16" ht="19" thickBot="1" x14ac:dyDescent="0.25">
      <c r="B16" s="32"/>
      <c r="C16" s="33"/>
      <c r="D16" s="34"/>
      <c r="E16" s="33"/>
      <c r="F16" s="35"/>
      <c r="G16" s="36"/>
      <c r="H16" s="37"/>
      <c r="I16" s="53"/>
      <c r="J16" s="39"/>
      <c r="K16" s="33"/>
      <c r="L16" s="40" t="s">
        <v>146</v>
      </c>
      <c r="N16" s="40"/>
      <c r="O16" s="33"/>
      <c r="P16" s="41"/>
    </row>
    <row r="17" spans="2:16" ht="19" thickBot="1" x14ac:dyDescent="0.25">
      <c r="B17" s="32"/>
      <c r="C17" s="33"/>
      <c r="D17" s="34"/>
      <c r="E17" s="33"/>
      <c r="F17" s="35"/>
      <c r="G17" s="36"/>
      <c r="H17" s="37"/>
      <c r="I17" s="53"/>
      <c r="J17" s="39"/>
      <c r="K17" s="33"/>
      <c r="L17" s="40" t="s">
        <v>147</v>
      </c>
      <c r="N17" s="40"/>
      <c r="O17" s="33"/>
      <c r="P17" s="41"/>
    </row>
    <row r="18" spans="2:16" ht="19" thickBot="1" x14ac:dyDescent="0.25">
      <c r="B18" s="32" t="s">
        <v>63</v>
      </c>
    </row>
    <row r="19" spans="2:16" ht="19" thickBot="1" x14ac:dyDescent="0.25">
      <c r="B19" s="42" t="s">
        <v>66</v>
      </c>
    </row>
    <row r="20" spans="2:16" ht="19" thickBot="1" x14ac:dyDescent="0.25">
      <c r="B20" s="32" t="s">
        <v>69</v>
      </c>
    </row>
    <row r="21" spans="2:16" ht="19" thickBot="1" x14ac:dyDescent="0.25">
      <c r="B21" s="42" t="s">
        <v>72</v>
      </c>
    </row>
    <row r="22" spans="2:16" ht="19" thickBot="1" x14ac:dyDescent="0.25">
      <c r="L22" s="40" t="s">
        <v>145</v>
      </c>
    </row>
    <row r="23" spans="2:16" ht="19" thickBot="1" x14ac:dyDescent="0.25">
      <c r="L23" s="40" t="s">
        <v>146</v>
      </c>
    </row>
    <row r="24" spans="2:16" ht="19" thickBot="1" x14ac:dyDescent="0.25">
      <c r="L24" s="40" t="s">
        <v>147</v>
      </c>
    </row>
  </sheetData>
  <mergeCells count="3">
    <mergeCell ref="E3:F3"/>
    <mergeCell ref="K3:L3"/>
    <mergeCell ref="O3:P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Ausreißer entfernen</vt:lpstr>
      <vt:lpstr>Kontrolle</vt:lpstr>
      <vt:lpstr>Tabelle1</vt:lpstr>
      <vt:lpstr>Versuchsdurchführung</vt:lpstr>
      <vt:lpstr>Theoretische Eisenzufuhr und pH</vt:lpstr>
      <vt:lpstr>EDDHA02</vt:lpstr>
      <vt:lpstr>EDDHA03</vt:lpstr>
      <vt:lpstr>EDDHA04</vt:lpstr>
      <vt:lpstr>FESO402</vt:lpstr>
      <vt:lpstr>FESO403</vt:lpstr>
      <vt:lpstr>FESO404</vt:lpstr>
      <vt:lpstr>EDDHA032x</vt:lpstr>
      <vt:lpstr>FESO4032x</vt:lpstr>
      <vt:lpstr>Ergebnisse Vorversuch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Jochen Kruppa</cp:lastModifiedBy>
  <dcterms:created xsi:type="dcterms:W3CDTF">2023-02-09T08:13:48Z</dcterms:created>
  <dcterms:modified xsi:type="dcterms:W3CDTF">2023-07-11T12:05:34Z</dcterms:modified>
</cp:coreProperties>
</file>