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9015" activeTab="1"/>
  </bookViews>
  <sheets>
    <sheet name="Newbies" sheetId="7" r:id="rId1"/>
    <sheet name="Under 25" sheetId="1" r:id="rId2"/>
    <sheet name="25+" sheetId="5" r:id="rId3"/>
    <sheet name="50+" sheetId="2" r:id="rId4"/>
    <sheet name="100+" sheetId="3" r:id="rId5"/>
    <sheet name=" Attendance Stats" sheetId="8" r:id="rId6"/>
    <sheet name="Team Circuit Races" sheetId="9" r:id="rId7"/>
  </sheets>
  <definedNames>
    <definedName name="_xlnm.Print_Area" localSheetId="4">'100+'!$A$1:$H$103</definedName>
    <definedName name="_xlnm.Print_Area" localSheetId="2">'25+'!$A$1:$H$104</definedName>
    <definedName name="_xlnm.Print_Area" localSheetId="3">'50+'!$A$1:$H$65</definedName>
    <definedName name="_xlnm.Print_Area" localSheetId="0">Newbies!$A$1:$F$35</definedName>
    <definedName name="_xlnm.Print_Area" localSheetId="1">'Under 25'!$A$1:$H$409</definedName>
    <definedName name="_xlnm.Print_Titles" localSheetId="4">'100+'!$2:$2</definedName>
    <definedName name="_xlnm.Print_Titles" localSheetId="2">'25+'!$2:$2</definedName>
    <definedName name="_xlnm.Print_Titles" localSheetId="3">'50+'!$2:$2</definedName>
    <definedName name="_xlnm.Print_Titles" localSheetId="0">Newbies!$2:$2</definedName>
    <definedName name="_xlnm.Print_Titles" localSheetId="1">'Under 25'!$2:$2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3" l="1"/>
  <c r="C102" i="3"/>
  <c r="C101" i="3"/>
  <c r="C99" i="3"/>
  <c r="C98" i="3"/>
  <c r="C96" i="3"/>
  <c r="C95" i="3"/>
  <c r="C94" i="3"/>
  <c r="C92" i="3"/>
  <c r="C91" i="3"/>
  <c r="C90" i="3"/>
  <c r="C89" i="3"/>
  <c r="C87" i="3"/>
  <c r="C86" i="3"/>
  <c r="C85" i="3"/>
  <c r="C84" i="3"/>
  <c r="C80" i="3"/>
  <c r="C79" i="3"/>
  <c r="C77" i="3"/>
  <c r="C76" i="3"/>
  <c r="C73" i="3"/>
  <c r="C72" i="3"/>
  <c r="C70" i="3"/>
  <c r="C66" i="3"/>
  <c r="C63" i="3"/>
  <c r="C62" i="3"/>
  <c r="C61" i="3"/>
  <c r="C59" i="3"/>
  <c r="C58" i="3"/>
  <c r="C56" i="3"/>
  <c r="C55" i="3"/>
  <c r="C54" i="3"/>
  <c r="C53" i="3"/>
  <c r="C51" i="3"/>
  <c r="C50" i="3"/>
  <c r="C48" i="3"/>
  <c r="C46" i="3"/>
  <c r="C44" i="3"/>
  <c r="C42" i="3"/>
  <c r="C41" i="3"/>
  <c r="C38" i="3"/>
  <c r="C37" i="3"/>
  <c r="C36" i="3"/>
  <c r="C35" i="3"/>
  <c r="C33" i="3"/>
  <c r="C32" i="3"/>
  <c r="C31" i="3"/>
  <c r="C29" i="3"/>
  <c r="C28" i="3"/>
  <c r="C27" i="3"/>
  <c r="C26" i="3"/>
  <c r="C25" i="3"/>
  <c r="C22" i="3"/>
  <c r="C21" i="3"/>
  <c r="C20" i="3"/>
  <c r="C19" i="3"/>
  <c r="C18" i="3"/>
  <c r="C16" i="3"/>
  <c r="C15" i="3"/>
  <c r="C14" i="3"/>
  <c r="C12" i="3"/>
  <c r="C11" i="3"/>
  <c r="C10" i="3"/>
  <c r="C9" i="3"/>
  <c r="C7" i="3"/>
  <c r="C6" i="3"/>
  <c r="C5" i="3"/>
  <c r="C4" i="3"/>
  <c r="C3" i="3"/>
  <c r="C65" i="2" l="1"/>
  <c r="C63" i="2"/>
  <c r="C60" i="2"/>
  <c r="C57" i="2"/>
  <c r="C56" i="2"/>
  <c r="C55" i="2"/>
  <c r="C54" i="2"/>
  <c r="C83" i="3"/>
  <c r="C52" i="2"/>
  <c r="C49" i="2"/>
  <c r="C48" i="2"/>
  <c r="C45" i="2"/>
  <c r="C38" i="2"/>
  <c r="C37" i="2"/>
  <c r="C33" i="2"/>
  <c r="C31" i="2"/>
  <c r="C28" i="2"/>
  <c r="C25" i="2"/>
  <c r="C22" i="2"/>
  <c r="C15" i="2"/>
  <c r="C13" i="2"/>
  <c r="C12" i="2"/>
  <c r="C8" i="2"/>
  <c r="C8" i="3"/>
  <c r="C6" i="2"/>
  <c r="C5" i="2"/>
  <c r="C61" i="2"/>
  <c r="C62" i="2"/>
  <c r="C34" i="2"/>
  <c r="C27" i="2"/>
  <c r="C4" i="2"/>
  <c r="C101" i="5"/>
  <c r="C93" i="5"/>
  <c r="C90" i="5"/>
  <c r="C89" i="5"/>
  <c r="C85" i="5"/>
  <c r="C80" i="5"/>
  <c r="C78" i="5"/>
  <c r="C76" i="5"/>
  <c r="C72" i="5"/>
  <c r="C66" i="5"/>
  <c r="C63" i="5"/>
  <c r="C60" i="5"/>
  <c r="C57" i="5"/>
  <c r="C50" i="5"/>
  <c r="C49" i="5"/>
  <c r="C45" i="5"/>
  <c r="C43" i="5"/>
  <c r="C42" i="5"/>
  <c r="C41" i="5"/>
  <c r="C37" i="5"/>
  <c r="C35" i="5"/>
  <c r="C27" i="5"/>
  <c r="C23" i="5"/>
  <c r="C19" i="5"/>
  <c r="C75" i="5"/>
  <c r="C20" i="5"/>
  <c r="C40" i="5"/>
  <c r="C94" i="5"/>
  <c r="C55" i="5"/>
  <c r="C7" i="5"/>
  <c r="C5" i="5"/>
  <c r="C44" i="5"/>
  <c r="C32" i="5"/>
  <c r="C402" i="1"/>
  <c r="C339" i="1"/>
  <c r="C318" i="1"/>
  <c r="C282" i="1"/>
  <c r="C258" i="1"/>
  <c r="C259" i="1"/>
  <c r="C246" i="1"/>
  <c r="C238" i="1"/>
  <c r="C227" i="1"/>
  <c r="C221" i="1"/>
  <c r="C220" i="1"/>
  <c r="C218" i="1"/>
  <c r="C207" i="1"/>
  <c r="C187" i="1"/>
  <c r="C161" i="1"/>
  <c r="C147" i="1"/>
  <c r="C133" i="1"/>
  <c r="C130" i="1"/>
  <c r="C126" i="1"/>
  <c r="C108" i="1"/>
  <c r="C84" i="1"/>
  <c r="C83" i="1"/>
  <c r="C78" i="1"/>
  <c r="C76" i="1"/>
  <c r="C65" i="1"/>
  <c r="C54" i="1"/>
  <c r="C45" i="1"/>
  <c r="C33" i="1"/>
  <c r="C32" i="1"/>
  <c r="C29" i="1"/>
  <c r="C31" i="1"/>
  <c r="C72" i="1"/>
  <c r="C322" i="1"/>
  <c r="C95" i="1"/>
  <c r="M16" i="8"/>
  <c r="C319" i="1"/>
  <c r="C10" i="1"/>
  <c r="C285" i="1"/>
  <c r="C405" i="1"/>
  <c r="C39" i="1"/>
  <c r="D409" i="1"/>
  <c r="C409" i="1"/>
  <c r="G16" i="8"/>
  <c r="D16" i="8"/>
  <c r="C16" i="8"/>
  <c r="B16" i="8"/>
  <c r="C100" i="3" l="1"/>
  <c r="C97" i="3"/>
  <c r="C81" i="3"/>
  <c r="C75" i="3"/>
  <c r="C74" i="3"/>
  <c r="C71" i="3"/>
  <c r="C68" i="3"/>
  <c r="C57" i="3"/>
  <c r="C40" i="3"/>
  <c r="C34" i="3"/>
  <c r="C17" i="3"/>
  <c r="C59" i="2"/>
  <c r="C47" i="2"/>
  <c r="C46" i="2"/>
  <c r="C40" i="2"/>
  <c r="C39" i="2"/>
  <c r="C32" i="2"/>
  <c r="C19" i="2"/>
  <c r="C17" i="2"/>
  <c r="C14" i="2"/>
  <c r="C3" i="2"/>
  <c r="C53" i="2"/>
  <c r="C102" i="5"/>
  <c r="C98" i="5"/>
  <c r="C96" i="5"/>
  <c r="C87" i="5"/>
  <c r="C68" i="5"/>
  <c r="C67" i="5"/>
  <c r="C62" i="5"/>
  <c r="C38" i="5"/>
  <c r="C33" i="5"/>
  <c r="C26" i="5"/>
  <c r="C8" i="5"/>
  <c r="C6" i="5"/>
  <c r="C84" i="5" l="1"/>
  <c r="C407" i="1"/>
  <c r="C376" i="1"/>
  <c r="C371" i="1"/>
  <c r="C369" i="1"/>
  <c r="C270" i="1"/>
  <c r="C264" i="1"/>
  <c r="C230" i="1"/>
  <c r="C216" i="1"/>
  <c r="C212" i="1"/>
  <c r="C169" i="1"/>
  <c r="C132" i="1"/>
  <c r="C131" i="1"/>
  <c r="C44" i="1"/>
  <c r="C34" i="1"/>
  <c r="C24" i="1"/>
  <c r="C19" i="1"/>
  <c r="C164" i="1"/>
  <c r="C385" i="1"/>
  <c r="C193" i="1"/>
  <c r="C120" i="1"/>
  <c r="C253" i="1"/>
  <c r="C316" i="1"/>
  <c r="C352" i="1"/>
  <c r="C330" i="1"/>
  <c r="C303" i="1"/>
  <c r="C49" i="1"/>
  <c r="C21" i="1"/>
  <c r="C47" i="1"/>
  <c r="C326" i="1"/>
  <c r="C144" i="1"/>
  <c r="G15" i="8"/>
  <c r="M14" i="8"/>
  <c r="M15" i="8"/>
  <c r="D15" i="8"/>
  <c r="C15" i="8"/>
  <c r="B15" i="8"/>
  <c r="C93" i="3" l="1"/>
  <c r="C82" i="3"/>
  <c r="C67" i="3"/>
  <c r="C39" i="3"/>
  <c r="C23" i="3"/>
  <c r="C64" i="2"/>
  <c r="C43" i="2"/>
  <c r="C36" i="2"/>
  <c r="C16" i="2"/>
  <c r="C30" i="3"/>
  <c r="C71" i="5"/>
  <c r="C69" i="5"/>
  <c r="C7" i="2"/>
  <c r="C10" i="5"/>
  <c r="C9" i="5"/>
  <c r="C394" i="1"/>
  <c r="C377" i="1"/>
  <c r="C354" i="1"/>
  <c r="C124" i="1"/>
  <c r="C280" i="1"/>
  <c r="C204" i="1"/>
  <c r="C179" i="1"/>
  <c r="C175" i="1"/>
  <c r="C102" i="1"/>
  <c r="C75" i="1"/>
  <c r="C43" i="1"/>
  <c r="C17" i="1"/>
  <c r="C329" i="1"/>
  <c r="C297" i="1"/>
  <c r="C52" i="1"/>
  <c r="C67" i="1"/>
  <c r="C252" i="1"/>
  <c r="C336" i="1"/>
  <c r="C96" i="1"/>
  <c r="C56" i="1"/>
  <c r="C308" i="1"/>
  <c r="C66" i="1"/>
  <c r="C327" i="1"/>
  <c r="C40" i="1"/>
  <c r="C236" i="1"/>
  <c r="C293" i="1"/>
  <c r="G14" i="8"/>
  <c r="D14" i="8"/>
  <c r="C14" i="8"/>
  <c r="B14" i="8"/>
  <c r="C78" i="3" l="1"/>
  <c r="C69" i="3"/>
  <c r="C49" i="3"/>
  <c r="C45" i="3"/>
  <c r="C24" i="3"/>
  <c r="C13" i="3"/>
  <c r="C50" i="2"/>
  <c r="C44" i="2"/>
  <c r="C41" i="2"/>
  <c r="C35" i="2"/>
  <c r="C43" i="3"/>
  <c r="C26" i="2"/>
  <c r="C23" i="2"/>
  <c r="C18" i="2"/>
  <c r="C10" i="2"/>
  <c r="C9" i="2"/>
  <c r="C65" i="5"/>
  <c r="C64" i="5"/>
  <c r="C48" i="5"/>
  <c r="C46" i="5"/>
  <c r="C29" i="2"/>
  <c r="C36" i="5"/>
  <c r="C18" i="5"/>
  <c r="C16" i="5"/>
  <c r="C70" i="5"/>
  <c r="C29" i="5"/>
  <c r="C404" i="1"/>
  <c r="C356" i="1"/>
  <c r="C269" i="1"/>
  <c r="C268" i="1"/>
  <c r="C241" i="1"/>
  <c r="C278" i="1"/>
  <c r="D278" i="1"/>
  <c r="C197" i="1"/>
  <c r="C190" i="1"/>
  <c r="C181" i="1"/>
  <c r="C182" i="1"/>
  <c r="C184" i="1"/>
  <c r="C167" i="1"/>
  <c r="C129" i="1"/>
  <c r="C60" i="1"/>
  <c r="C51" i="1"/>
  <c r="C26" i="1"/>
  <c r="C57" i="1"/>
  <c r="C151" i="1"/>
  <c r="C87" i="1"/>
  <c r="C92" i="1"/>
  <c r="C6" i="1"/>
  <c r="C375" i="1"/>
  <c r="C99" i="1"/>
  <c r="C222" i="1"/>
  <c r="C150" i="1"/>
  <c r="C55" i="1"/>
  <c r="C192" i="1"/>
  <c r="C183" i="1"/>
  <c r="C71" i="1"/>
  <c r="C73" i="1"/>
  <c r="C86" i="1"/>
  <c r="C311" i="1"/>
  <c r="C77" i="1"/>
  <c r="C103" i="1"/>
  <c r="C59" i="1"/>
  <c r="C217" i="1"/>
  <c r="D408" i="1" l="1"/>
  <c r="C408" i="1"/>
  <c r="E13" i="8"/>
  <c r="G13" i="8"/>
  <c r="D13" i="8" l="1"/>
  <c r="C13" i="8"/>
  <c r="B13" i="8"/>
  <c r="C65" i="3" l="1"/>
  <c r="C60" i="3"/>
  <c r="C24" i="2"/>
  <c r="C20" i="2"/>
  <c r="C51" i="2"/>
  <c r="C104" i="5"/>
  <c r="C59" i="5"/>
  <c r="C12" i="5"/>
  <c r="C100" i="5"/>
  <c r="C242" i="1"/>
  <c r="C208" i="1"/>
  <c r="C163" i="1"/>
  <c r="C139" i="1"/>
  <c r="C134" i="1"/>
  <c r="C122" i="1"/>
  <c r="C68" i="1"/>
  <c r="C64" i="1"/>
  <c r="C18" i="1"/>
  <c r="C325" i="1"/>
  <c r="C346" i="1"/>
  <c r="C267" i="1"/>
  <c r="C279" i="1"/>
  <c r="C276" i="1"/>
  <c r="C263" i="1"/>
  <c r="C387" i="1"/>
  <c r="C27" i="1"/>
  <c r="C158" i="1"/>
  <c r="C85" i="1"/>
  <c r="C300" i="1"/>
  <c r="C353" i="1"/>
  <c r="C361" i="1"/>
  <c r="C176" i="1"/>
  <c r="C177" i="1"/>
  <c r="C389" i="1"/>
  <c r="D12" i="8"/>
  <c r="G12" i="8"/>
  <c r="C12" i="8"/>
  <c r="B12" i="8" l="1"/>
  <c r="C47" i="3" l="1"/>
  <c r="C30" i="2"/>
  <c r="C88" i="5"/>
  <c r="C54" i="5"/>
  <c r="C34" i="5"/>
  <c r="C370" i="1"/>
  <c r="C289" i="1"/>
  <c r="C248" i="1"/>
  <c r="C101" i="1"/>
  <c r="C294" i="1"/>
  <c r="C365" i="1"/>
  <c r="C399" i="1"/>
  <c r="C62" i="1"/>
  <c r="C8" i="1"/>
  <c r="C191" i="1"/>
  <c r="C401" i="1"/>
  <c r="G11" i="8"/>
  <c r="D11" i="8"/>
  <c r="C11" i="8"/>
  <c r="B11" i="8" l="1"/>
  <c r="C79" i="5" l="1"/>
  <c r="C77" i="5"/>
  <c r="C3" i="5"/>
  <c r="C58" i="5"/>
  <c r="C304" i="1"/>
  <c r="C288" i="1"/>
  <c r="C286" i="1"/>
  <c r="C203" i="1"/>
  <c r="C149" i="1"/>
  <c r="C106" i="1"/>
  <c r="C127" i="1"/>
  <c r="D10" i="8" l="1"/>
  <c r="B10" i="8"/>
  <c r="C374" i="1"/>
  <c r="C281" i="1"/>
  <c r="C153" i="1"/>
  <c r="C152" i="1"/>
  <c r="C113" i="1"/>
  <c r="C119" i="1"/>
  <c r="G10" i="8"/>
  <c r="C10" i="8"/>
  <c r="D9" i="8"/>
  <c r="C88" i="3" l="1"/>
  <c r="C58" i="2"/>
  <c r="C42" i="2"/>
  <c r="C81" i="5"/>
  <c r="C30" i="5"/>
  <c r="C24" i="5"/>
  <c r="C95" i="5"/>
  <c r="C14" i="5"/>
  <c r="C15" i="5"/>
  <c r="C4" i="5"/>
  <c r="C21" i="5"/>
  <c r="C74" i="5"/>
  <c r="C400" i="1"/>
  <c r="C379" i="1"/>
  <c r="C350" i="1"/>
  <c r="C332" i="1"/>
  <c r="C306" i="1"/>
  <c r="C170" i="1"/>
  <c r="C91" i="1"/>
  <c r="C80" i="1"/>
  <c r="C234" i="1"/>
  <c r="C233" i="1"/>
  <c r="C201" i="1"/>
  <c r="C162" i="1"/>
  <c r="C143" i="1"/>
  <c r="C296" i="1"/>
  <c r="C180" i="1"/>
  <c r="C3" i="1"/>
  <c r="C123" i="1"/>
  <c r="C382" i="1"/>
  <c r="E9" i="8"/>
  <c r="C9" i="8" l="1"/>
  <c r="B9" i="8"/>
  <c r="C11" i="2" l="1"/>
  <c r="C21" i="2"/>
  <c r="C28" i="5"/>
  <c r="C11" i="5"/>
  <c r="C403" i="1"/>
  <c r="C380" i="1"/>
  <c r="C345" i="1"/>
  <c r="C209" i="1"/>
  <c r="C200" i="1"/>
  <c r="C189" i="1"/>
  <c r="C157" i="1"/>
  <c r="C155" i="1"/>
  <c r="C118" i="1"/>
  <c r="C15" i="1"/>
  <c r="C4" i="1"/>
  <c r="C82" i="1"/>
  <c r="C347" i="1"/>
  <c r="C362" i="1"/>
  <c r="C159" i="1"/>
  <c r="C137" i="1"/>
  <c r="C168" i="1"/>
  <c r="C205" i="1"/>
  <c r="C178" i="1"/>
  <c r="C275" i="1"/>
  <c r="C338" i="1"/>
  <c r="C283" i="1"/>
  <c r="C301" i="1"/>
  <c r="C135" i="1"/>
  <c r="C8" i="8"/>
  <c r="B8" i="8"/>
  <c r="C103" i="5" l="1"/>
  <c r="C39" i="5"/>
  <c r="C73" i="5"/>
  <c r="C395" i="1"/>
  <c r="C328" i="1"/>
  <c r="C284" i="1"/>
  <c r="C211" i="1"/>
  <c r="C196" i="1"/>
  <c r="C11" i="1"/>
  <c r="C261" i="1"/>
  <c r="C174" i="1"/>
  <c r="G7" i="8" l="1"/>
  <c r="D7" i="8"/>
  <c r="C7" i="8"/>
  <c r="B7" i="8"/>
  <c r="C22" i="5" l="1"/>
  <c r="C51" i="5"/>
  <c r="C48" i="1"/>
  <c r="C110" i="1"/>
  <c r="G6" i="8"/>
  <c r="C223" i="1"/>
  <c r="C291" i="1"/>
  <c r="C292" i="1"/>
  <c r="C290" i="1"/>
  <c r="C215" i="1"/>
  <c r="C373" i="1"/>
  <c r="C398" i="1"/>
  <c r="C41" i="1"/>
  <c r="C136" i="1"/>
  <c r="C277" i="1"/>
  <c r="C5" i="1"/>
  <c r="D5" i="1"/>
  <c r="C9" i="1"/>
  <c r="D9" i="1"/>
  <c r="C12" i="1"/>
  <c r="C7" i="1"/>
  <c r="C13" i="1"/>
  <c r="D13" i="1"/>
  <c r="C14" i="1"/>
  <c r="C16" i="1"/>
  <c r="D16" i="1"/>
  <c r="D6" i="8"/>
  <c r="C6" i="8"/>
  <c r="B6" i="8"/>
  <c r="C64" i="3" l="1"/>
  <c r="C61" i="5"/>
  <c r="C381" i="1" l="1"/>
  <c r="C357" i="1"/>
  <c r="C257" i="1"/>
  <c r="C213" i="1"/>
  <c r="C202" i="1" l="1"/>
  <c r="C166" i="1"/>
  <c r="C156" i="1"/>
  <c r="C88" i="1"/>
  <c r="C320" i="1"/>
  <c r="C30" i="1"/>
  <c r="C266" i="1"/>
  <c r="C121" i="1"/>
  <c r="C185" i="1"/>
  <c r="C111" i="1"/>
  <c r="G5" i="8"/>
  <c r="M4" i="8"/>
  <c r="M3" i="8"/>
  <c r="M2" i="8"/>
  <c r="M13" i="8"/>
  <c r="M12" i="8"/>
  <c r="M11" i="8"/>
  <c r="M10" i="8"/>
  <c r="M9" i="8"/>
  <c r="M8" i="8"/>
  <c r="M7" i="8"/>
  <c r="M6" i="8"/>
  <c r="M5" i="8"/>
  <c r="D5" i="8"/>
  <c r="C5" i="8"/>
  <c r="B5" i="8"/>
  <c r="C52" i="3" l="1"/>
  <c r="C99" i="5"/>
  <c r="C4" i="8"/>
  <c r="C56" i="5"/>
  <c r="C52" i="5"/>
  <c r="C92" i="5"/>
  <c r="C31" i="5"/>
  <c r="C47" i="5"/>
  <c r="C406" i="1"/>
  <c r="C378" i="1"/>
  <c r="C359" i="1"/>
  <c r="C313" i="1"/>
  <c r="C173" i="1" l="1"/>
  <c r="C128" i="1"/>
  <c r="C93" i="1"/>
  <c r="C392" i="1"/>
  <c r="C323" i="1"/>
  <c r="C295" i="1"/>
  <c r="C199" i="1"/>
  <c r="C214" i="1"/>
  <c r="C348" i="1"/>
  <c r="C94" i="1"/>
  <c r="C342" i="1"/>
  <c r="C383" i="1"/>
  <c r="C287" i="1"/>
  <c r="G4" i="8"/>
  <c r="D4" i="8" l="1"/>
  <c r="B4" i="8"/>
  <c r="D3" i="8" l="1"/>
  <c r="C3" i="8"/>
  <c r="B3" i="8"/>
  <c r="G3" i="8"/>
  <c r="C104" i="1"/>
  <c r="C255" i="1"/>
  <c r="C341" i="1"/>
  <c r="C114" i="1"/>
  <c r="C160" i="1"/>
  <c r="C363" i="1"/>
  <c r="C340" i="1"/>
  <c r="C344" i="1"/>
  <c r="D186" i="1" l="1"/>
  <c r="C186" i="1"/>
  <c r="C312" i="1"/>
  <c r="C262" i="1"/>
  <c r="C260" i="1"/>
  <c r="C243" i="1"/>
  <c r="C232" i="1"/>
  <c r="C198" i="1"/>
  <c r="C89" i="1"/>
  <c r="D13" i="5" l="1"/>
  <c r="C13" i="5"/>
  <c r="D396" i="1"/>
  <c r="C396" i="1"/>
  <c r="D391" i="1"/>
  <c r="C391" i="1"/>
  <c r="D343" i="1"/>
  <c r="C343" i="1"/>
  <c r="D271" i="1"/>
  <c r="C271" i="1"/>
  <c r="D235" i="1"/>
  <c r="C235" i="1"/>
  <c r="D154" i="1"/>
  <c r="C154" i="1"/>
  <c r="D117" i="1"/>
  <c r="C117" i="1"/>
  <c r="C100" i="1"/>
  <c r="C2" i="8"/>
  <c r="B2" i="8"/>
  <c r="C251" i="1"/>
  <c r="D251" i="1"/>
  <c r="C309" i="1" l="1"/>
  <c r="D305" i="1"/>
  <c r="C305" i="1"/>
  <c r="D256" i="1"/>
  <c r="C256" i="1"/>
  <c r="D105" i="1"/>
  <c r="C105" i="1"/>
  <c r="C272" i="1"/>
  <c r="C384" i="1"/>
  <c r="C321" i="1"/>
  <c r="D321" i="1"/>
  <c r="D272" i="1"/>
  <c r="D384" i="1"/>
  <c r="C112" i="1"/>
  <c r="D112" i="1"/>
  <c r="D83" i="5" l="1"/>
  <c r="C83" i="5"/>
  <c r="D17" i="5"/>
  <c r="C17" i="5"/>
  <c r="D225" i="1"/>
  <c r="C225" i="1"/>
  <c r="D226" i="1"/>
  <c r="C226" i="1"/>
  <c r="D165" i="1" l="1"/>
  <c r="C165" i="1"/>
  <c r="D140" i="1"/>
  <c r="C140" i="1"/>
  <c r="C109" i="1"/>
  <c r="C53" i="1"/>
  <c r="C50" i="1"/>
  <c r="C224" i="1"/>
  <c r="C302" i="1"/>
  <c r="C35" i="1"/>
  <c r="D302" i="1"/>
  <c r="D35" i="1"/>
  <c r="D109" i="1"/>
  <c r="D53" i="1"/>
  <c r="D50" i="1"/>
  <c r="D224" i="1"/>
  <c r="C390" i="1"/>
  <c r="C219" i="1"/>
  <c r="D390" i="1"/>
  <c r="D219" i="1"/>
  <c r="D79" i="1"/>
  <c r="C79" i="1"/>
  <c r="C25" i="1"/>
  <c r="D274" i="1"/>
  <c r="C274" i="1"/>
  <c r="D25" i="1"/>
  <c r="D194" i="1"/>
  <c r="C194" i="1"/>
  <c r="C314" i="1" l="1"/>
  <c r="D314" i="1"/>
  <c r="C116" i="1"/>
  <c r="C20" i="1"/>
  <c r="C228" i="1"/>
  <c r="C210" i="1"/>
  <c r="C254" i="1"/>
  <c r="D116" i="1"/>
  <c r="D20" i="1"/>
  <c r="D228" i="1"/>
  <c r="D210" i="1"/>
  <c r="D254" i="1"/>
  <c r="D91" i="5" l="1"/>
  <c r="C91" i="5"/>
  <c r="D239" i="1"/>
  <c r="C239" i="1"/>
  <c r="D23" i="1"/>
  <c r="C23" i="1"/>
  <c r="C310" i="1"/>
  <c r="C97" i="1"/>
  <c r="C38" i="1"/>
  <c r="D310" i="1"/>
  <c r="D97" i="1"/>
  <c r="D38" i="1"/>
  <c r="D107" i="1"/>
  <c r="C107" i="1"/>
  <c r="D86" i="5" l="1"/>
  <c r="C86" i="5"/>
  <c r="D229" i="1"/>
  <c r="C229" i="1"/>
  <c r="D397" i="1"/>
  <c r="C397" i="1"/>
  <c r="C315" i="1" l="1"/>
  <c r="C249" i="1"/>
  <c r="D249" i="1"/>
  <c r="C360" i="1"/>
  <c r="C334" i="1"/>
  <c r="C355" i="1"/>
  <c r="C237" i="1"/>
  <c r="C388" i="1" l="1"/>
  <c r="C115" i="1"/>
  <c r="C364" i="1"/>
  <c r="C317" i="1"/>
  <c r="C372" i="1"/>
  <c r="C299" i="1"/>
  <c r="C337" i="1"/>
  <c r="C36" i="1"/>
  <c r="C231" i="1"/>
  <c r="C245" i="1"/>
  <c r="D360" i="1"/>
  <c r="D334" i="1"/>
  <c r="D355" i="1"/>
  <c r="D237" i="1"/>
  <c r="D388" i="1"/>
  <c r="D115" i="1"/>
  <c r="D364" i="1"/>
  <c r="D317" i="1"/>
  <c r="D372" i="1"/>
  <c r="D299" i="1"/>
  <c r="D337" i="1"/>
  <c r="D36" i="1"/>
  <c r="D231" i="1"/>
  <c r="D245" i="1"/>
  <c r="D82" i="5" l="1"/>
  <c r="C82" i="5"/>
  <c r="D25" i="5"/>
  <c r="C25" i="5"/>
  <c r="D273" i="1"/>
  <c r="C273" i="1"/>
  <c r="D265" i="1"/>
  <c r="C265" i="1"/>
  <c r="D46" i="1"/>
  <c r="C46" i="1"/>
  <c r="C146" i="1"/>
  <c r="C240" i="1"/>
  <c r="C172" i="1"/>
  <c r="C148" i="1"/>
  <c r="C307" i="1"/>
  <c r="C206" i="1"/>
  <c r="C368" i="1"/>
  <c r="D146" i="1"/>
  <c r="D240" i="1"/>
  <c r="D172" i="1"/>
  <c r="D148" i="1"/>
  <c r="D307" i="1"/>
  <c r="D206" i="1"/>
  <c r="D368" i="1"/>
  <c r="D97" i="5" l="1"/>
  <c r="C97" i="5"/>
  <c r="D53" i="5"/>
  <c r="C53" i="5"/>
  <c r="D324" i="1"/>
  <c r="C324" i="1"/>
  <c r="D244" i="1"/>
  <c r="C244" i="1"/>
  <c r="D366" i="1"/>
  <c r="C250" i="1"/>
  <c r="C42" i="1"/>
  <c r="D250" i="1"/>
  <c r="C63" i="1"/>
  <c r="C331" i="1"/>
  <c r="D42" i="1"/>
  <c r="D63" i="1"/>
  <c r="D331" i="1"/>
  <c r="C335" i="1" l="1"/>
  <c r="D188" i="1"/>
  <c r="C188" i="1"/>
  <c r="D74" i="1"/>
  <c r="C74" i="1"/>
  <c r="C125" i="1"/>
  <c r="D125" i="1"/>
  <c r="C90" i="1"/>
  <c r="D90" i="1"/>
  <c r="D335" i="1"/>
  <c r="C195" i="1"/>
  <c r="C28" i="1"/>
  <c r="D195" i="1" l="1"/>
  <c r="D28" i="1"/>
  <c r="D69" i="1"/>
  <c r="C69" i="1"/>
  <c r="D386" i="1"/>
  <c r="C386" i="1"/>
  <c r="D58" i="1"/>
  <c r="C58" i="1"/>
  <c r="D37" i="1" l="1"/>
  <c r="C37" i="1"/>
  <c r="D138" i="1"/>
  <c r="C138" i="1"/>
  <c r="D145" i="1"/>
  <c r="C145" i="1"/>
  <c r="D298" i="1"/>
  <c r="C298" i="1"/>
  <c r="D141" i="1"/>
  <c r="C141" i="1"/>
  <c r="D142" i="1"/>
  <c r="C142" i="1"/>
  <c r="D171" i="1"/>
  <c r="C171" i="1"/>
  <c r="D22" i="1"/>
  <c r="C22" i="1"/>
  <c r="D70" i="1"/>
  <c r="C70" i="1"/>
  <c r="D358" i="1"/>
  <c r="C358" i="1"/>
  <c r="D247" i="1"/>
  <c r="C247" i="1"/>
  <c r="D98" i="1"/>
  <c r="C98" i="1"/>
  <c r="D351" i="1"/>
  <c r="C351" i="1"/>
  <c r="D349" i="1"/>
  <c r="C349" i="1"/>
  <c r="D393" i="1"/>
  <c r="C393" i="1"/>
  <c r="D61" i="1"/>
  <c r="C61" i="1"/>
  <c r="D367" i="1"/>
  <c r="C367" i="1"/>
  <c r="D81" i="1"/>
  <c r="C81" i="1"/>
</calcChain>
</file>

<file path=xl/sharedStrings.xml><?xml version="1.0" encoding="utf-8"?>
<sst xmlns="http://schemas.openxmlformats.org/spreadsheetml/2006/main" count="1867" uniqueCount="1073">
  <si>
    <t>FIRST</t>
  </si>
  <si>
    <t>LAST</t>
  </si>
  <si>
    <t>Total Miles</t>
  </si>
  <si>
    <t>100+ MILE CLUB</t>
  </si>
  <si>
    <t>NEWBIES!</t>
  </si>
  <si>
    <t xml:space="preserve">FIRST </t>
  </si>
  <si>
    <t xml:space="preserve">LAST </t>
  </si>
  <si>
    <t>** Please PRINT your name clearly!**</t>
  </si>
  <si>
    <t>Assisted Long Run</t>
  </si>
  <si>
    <t>** UNHIDE / HIDE Column F ( "Assisted Long Run") as needed</t>
  </si>
  <si>
    <t>PRINT CLEARLY</t>
  </si>
  <si>
    <r>
      <rPr>
        <b/>
        <sz val="14"/>
        <color theme="1"/>
        <rFont val="Calibri"/>
        <family val="2"/>
        <scheme val="minor"/>
      </rPr>
      <t>FIRST</t>
    </r>
    <r>
      <rPr>
        <sz val="14"/>
        <color theme="1"/>
        <rFont val="Calibri"/>
        <family val="2"/>
        <scheme val="minor"/>
      </rPr>
      <t xml:space="preserve"> NAME </t>
    </r>
  </si>
  <si>
    <r>
      <rPr>
        <b/>
        <sz val="14"/>
        <color theme="1"/>
        <rFont val="Calibri"/>
        <family val="2"/>
        <scheme val="minor"/>
      </rPr>
      <t>LAST</t>
    </r>
    <r>
      <rPr>
        <sz val="14"/>
        <color theme="1"/>
        <rFont val="Calibri"/>
        <family val="2"/>
        <scheme val="minor"/>
      </rPr>
      <t xml:space="preserve"> NAME </t>
    </r>
  </si>
  <si>
    <t>Dan</t>
  </si>
  <si>
    <t>Bier</t>
  </si>
  <si>
    <t>Joel</t>
  </si>
  <si>
    <t>Dieterich</t>
  </si>
  <si>
    <t xml:space="preserve">Doron </t>
  </si>
  <si>
    <t>Alan</t>
  </si>
  <si>
    <t>Twomey</t>
  </si>
  <si>
    <t>Jeremy</t>
  </si>
  <si>
    <t>Reichenberger</t>
  </si>
  <si>
    <t>Cami</t>
  </si>
  <si>
    <t>Connell</t>
  </si>
  <si>
    <t>Matt</t>
  </si>
  <si>
    <t>Wiersum</t>
  </si>
  <si>
    <t>Ben</t>
  </si>
  <si>
    <t>Merchant</t>
  </si>
  <si>
    <t>Anna</t>
  </si>
  <si>
    <t>Heinzerling</t>
  </si>
  <si>
    <t>Jessica</t>
  </si>
  <si>
    <t>Finlay</t>
  </si>
  <si>
    <t>Kjell</t>
  </si>
  <si>
    <t>Coleman</t>
  </si>
  <si>
    <t>Adelheid</t>
  </si>
  <si>
    <t>Koski</t>
  </si>
  <si>
    <t>Jeff</t>
  </si>
  <si>
    <t>Conor</t>
  </si>
  <si>
    <t>Callaghan</t>
  </si>
  <si>
    <t>Erik</t>
  </si>
  <si>
    <t>Larson</t>
  </si>
  <si>
    <t>Jennifer</t>
  </si>
  <si>
    <t>Jensen</t>
  </si>
  <si>
    <t>Jamie</t>
  </si>
  <si>
    <t>Birkelo</t>
  </si>
  <si>
    <t>Brittany</t>
  </si>
  <si>
    <t>Pentek</t>
  </si>
  <si>
    <t>Kirsten</t>
  </si>
  <si>
    <t>Birst</t>
  </si>
  <si>
    <t>Freya</t>
  </si>
  <si>
    <t>Koester</t>
  </si>
  <si>
    <t>Laura</t>
  </si>
  <si>
    <t>Miller</t>
  </si>
  <si>
    <t>Brendan</t>
  </si>
  <si>
    <t>Sherman</t>
  </si>
  <si>
    <t>Morgan</t>
  </si>
  <si>
    <t>Finley</t>
  </si>
  <si>
    <t>Eddie</t>
  </si>
  <si>
    <t>Phillips</t>
  </si>
  <si>
    <t>Amy</t>
  </si>
  <si>
    <t>Sissala</t>
  </si>
  <si>
    <t>Eric</t>
  </si>
  <si>
    <t>Kronback</t>
  </si>
  <si>
    <t>Brent</t>
  </si>
  <si>
    <t>Nelson</t>
  </si>
  <si>
    <t>Barb</t>
  </si>
  <si>
    <t>Leininger</t>
  </si>
  <si>
    <t>Anurag</t>
  </si>
  <si>
    <t>Jain</t>
  </si>
  <si>
    <t>Nissa</t>
  </si>
  <si>
    <t>Tim</t>
  </si>
  <si>
    <t>Peterson</t>
  </si>
  <si>
    <t>Pat</t>
  </si>
  <si>
    <t>Burns</t>
  </si>
  <si>
    <t>Peter</t>
  </si>
  <si>
    <t>Victorine</t>
  </si>
  <si>
    <t>Kim</t>
  </si>
  <si>
    <t>Jared</t>
  </si>
  <si>
    <t>Anderson</t>
  </si>
  <si>
    <t>Drew</t>
  </si>
  <si>
    <t>Sciacca</t>
  </si>
  <si>
    <t xml:space="preserve">Thomas </t>
  </si>
  <si>
    <t>Richy</t>
  </si>
  <si>
    <t>Yin</t>
  </si>
  <si>
    <t>Rebekah</t>
  </si>
  <si>
    <t>Foelker</t>
  </si>
  <si>
    <t>Paul</t>
  </si>
  <si>
    <t>Swim</t>
  </si>
  <si>
    <t>Rick</t>
  </si>
  <si>
    <t>Recker</t>
  </si>
  <si>
    <t>Gwenn</t>
  </si>
  <si>
    <t>Joren</t>
  </si>
  <si>
    <t>Skugrud</t>
  </si>
  <si>
    <t>Margaret</t>
  </si>
  <si>
    <t>Mysz</t>
  </si>
  <si>
    <t>Wise</t>
  </si>
  <si>
    <t>Jason</t>
  </si>
  <si>
    <t>Acosta</t>
  </si>
  <si>
    <t>Will</t>
  </si>
  <si>
    <t>O'Keefe</t>
  </si>
  <si>
    <t>Harrison</t>
  </si>
  <si>
    <t>Clark</t>
  </si>
  <si>
    <t>Patrick</t>
  </si>
  <si>
    <t>Dowd</t>
  </si>
  <si>
    <t>Todd</t>
  </si>
  <si>
    <t>Schneider</t>
  </si>
  <si>
    <t>Dondelinger</t>
  </si>
  <si>
    <t>Janna</t>
  </si>
  <si>
    <t>Swenson</t>
  </si>
  <si>
    <t>Dina</t>
  </si>
  <si>
    <t>Carpenter</t>
  </si>
  <si>
    <t>Cindy</t>
  </si>
  <si>
    <t>Hlavka</t>
  </si>
  <si>
    <t>Olson</t>
  </si>
  <si>
    <t>Adam</t>
  </si>
  <si>
    <t>Baus</t>
  </si>
  <si>
    <t>SPK</t>
  </si>
  <si>
    <t>Julie</t>
  </si>
  <si>
    <t>Sorell</t>
  </si>
  <si>
    <t>Justin</t>
  </si>
  <si>
    <t>Kruse</t>
  </si>
  <si>
    <t>Angie</t>
  </si>
  <si>
    <t>Rice-Beckman</t>
  </si>
  <si>
    <t>Luke</t>
  </si>
  <si>
    <t>Hosfield</t>
  </si>
  <si>
    <t>Ostermeier</t>
  </si>
  <si>
    <t>Mark</t>
  </si>
  <si>
    <t>Everhart</t>
  </si>
  <si>
    <t>Mike</t>
  </si>
  <si>
    <t>Jurasits</t>
  </si>
  <si>
    <t>Carly</t>
  </si>
  <si>
    <t>Danek</t>
  </si>
  <si>
    <t>Huseth</t>
  </si>
  <si>
    <t>Michael</t>
  </si>
  <si>
    <t>Bunda</t>
  </si>
  <si>
    <t>Stephanie</t>
  </si>
  <si>
    <t>Beebe</t>
  </si>
  <si>
    <t>Leslie</t>
  </si>
  <si>
    <t>McLauchlan</t>
  </si>
  <si>
    <t>Jon</t>
  </si>
  <si>
    <t>Mishka</t>
  </si>
  <si>
    <t>Vertin</t>
  </si>
  <si>
    <t>Brian</t>
  </si>
  <si>
    <t>Kaschmitter</t>
  </si>
  <si>
    <t>Shannon</t>
  </si>
  <si>
    <t>Ginsberg</t>
  </si>
  <si>
    <t>MacKenzie</t>
  </si>
  <si>
    <t>Heidi</t>
  </si>
  <si>
    <t>Ylvisaker</t>
  </si>
  <si>
    <t>Heather</t>
  </si>
  <si>
    <t>Sawdey</t>
  </si>
  <si>
    <t>Jered</t>
  </si>
  <si>
    <t>Tucker</t>
  </si>
  <si>
    <t>Nguyen</t>
  </si>
  <si>
    <t>Stevenson</t>
  </si>
  <si>
    <t>Sam</t>
  </si>
  <si>
    <t>Parker</t>
  </si>
  <si>
    <t>Frances</t>
  </si>
  <si>
    <t xml:space="preserve">Wood </t>
  </si>
  <si>
    <t>Steve</t>
  </si>
  <si>
    <t>Josh</t>
  </si>
  <si>
    <t>Ruhnke</t>
  </si>
  <si>
    <t>Jillian</t>
  </si>
  <si>
    <t>Friedrich</t>
  </si>
  <si>
    <t>Tony</t>
  </si>
  <si>
    <t>Minaglia</t>
  </si>
  <si>
    <t>Norton</t>
  </si>
  <si>
    <t xml:space="preserve">Chas </t>
  </si>
  <si>
    <t>Kennedy</t>
  </si>
  <si>
    <t>Mari</t>
  </si>
  <si>
    <t>Steinbach</t>
  </si>
  <si>
    <t>Lisa</t>
  </si>
  <si>
    <t>McIntyre</t>
  </si>
  <si>
    <t>Sarah</t>
  </si>
  <si>
    <t>Ridens</t>
  </si>
  <si>
    <t>Sara</t>
  </si>
  <si>
    <t>Welle</t>
  </si>
  <si>
    <t>Manja</t>
  </si>
  <si>
    <t>Dobraca</t>
  </si>
  <si>
    <t>Chris</t>
  </si>
  <si>
    <t>Hearn</t>
  </si>
  <si>
    <t>Winter</t>
  </si>
  <si>
    <t>Nick</t>
  </si>
  <si>
    <t>Kremer</t>
  </si>
  <si>
    <t>Mary</t>
  </si>
  <si>
    <t>Wadlow</t>
  </si>
  <si>
    <t>Box</t>
  </si>
  <si>
    <t>Dani</t>
  </si>
  <si>
    <t xml:space="preserve">Frye </t>
  </si>
  <si>
    <t>Scott</t>
  </si>
  <si>
    <t>Carlson</t>
  </si>
  <si>
    <t>Butler</t>
  </si>
  <si>
    <t>Alex</t>
  </si>
  <si>
    <t>Fan</t>
  </si>
  <si>
    <t>Hannah</t>
  </si>
  <si>
    <t>Louis</t>
  </si>
  <si>
    <t>Prahl</t>
  </si>
  <si>
    <t>Collette</t>
  </si>
  <si>
    <t>Greg</t>
  </si>
  <si>
    <t>Renden</t>
  </si>
  <si>
    <t>Keshika</t>
  </si>
  <si>
    <t>Peters</t>
  </si>
  <si>
    <t>Tintes</t>
  </si>
  <si>
    <t>Glowacki</t>
  </si>
  <si>
    <t>Collin</t>
  </si>
  <si>
    <t>Arnett</t>
  </si>
  <si>
    <t>Bryan</t>
  </si>
  <si>
    <t>Jacobson</t>
  </si>
  <si>
    <t>Madeline</t>
  </si>
  <si>
    <t>Handschy</t>
  </si>
  <si>
    <t>Emily</t>
  </si>
  <si>
    <t>Johnson</t>
  </si>
  <si>
    <t>Stewart</t>
  </si>
  <si>
    <t>Tarek</t>
  </si>
  <si>
    <t>Alkatout</t>
  </si>
  <si>
    <t>Isabella</t>
  </si>
  <si>
    <t>Dougherty</t>
  </si>
  <si>
    <t>Joe</t>
  </si>
  <si>
    <t>Balfanz</t>
  </si>
  <si>
    <t>Meemken</t>
  </si>
  <si>
    <t>Lindsey</t>
  </si>
  <si>
    <t>Alicia</t>
  </si>
  <si>
    <t>Wold</t>
  </si>
  <si>
    <t>Smuder</t>
  </si>
  <si>
    <t>Dave</t>
  </si>
  <si>
    <t>Greta</t>
  </si>
  <si>
    <t>Sommerfeld</t>
  </si>
  <si>
    <t>Andrea</t>
  </si>
  <si>
    <t>Katie</t>
  </si>
  <si>
    <t>Bethke</t>
  </si>
  <si>
    <t>Dana</t>
  </si>
  <si>
    <t>Baek</t>
  </si>
  <si>
    <t>Helen</t>
  </si>
  <si>
    <t>Kelly</t>
  </si>
  <si>
    <t>Judit</t>
  </si>
  <si>
    <t>Perez</t>
  </si>
  <si>
    <t>Ryan</t>
  </si>
  <si>
    <t>Blair</t>
  </si>
  <si>
    <t>Aakre</t>
  </si>
  <si>
    <t>Brandon</t>
  </si>
  <si>
    <t>Kristin</t>
  </si>
  <si>
    <t>Jacobsen</t>
  </si>
  <si>
    <t>Jacob</t>
  </si>
  <si>
    <t>Lauren</t>
  </si>
  <si>
    <t>Krautmann</t>
  </si>
  <si>
    <t>Trevor</t>
  </si>
  <si>
    <t>Riles</t>
  </si>
  <si>
    <t>Kotek</t>
  </si>
  <si>
    <t>Nicole</t>
  </si>
  <si>
    <t>Rubis</t>
  </si>
  <si>
    <t>Drexler</t>
  </si>
  <si>
    <t>Naegeli</t>
  </si>
  <si>
    <t>Betts</t>
  </si>
  <si>
    <t>Handeland</t>
  </si>
  <si>
    <t>Hilary</t>
  </si>
  <si>
    <t>Teaford</t>
  </si>
  <si>
    <t>Melvin</t>
  </si>
  <si>
    <t>Donaldson</t>
  </si>
  <si>
    <t>Evan</t>
  </si>
  <si>
    <t>Cooper</t>
  </si>
  <si>
    <t>Rod</t>
  </si>
  <si>
    <t>Loran</t>
  </si>
  <si>
    <t>Dallas</t>
  </si>
  <si>
    <t>Erdahl</t>
  </si>
  <si>
    <t>Goldner</t>
  </si>
  <si>
    <t>Leah</t>
  </si>
  <si>
    <t>Hall</t>
  </si>
  <si>
    <t>George</t>
  </si>
  <si>
    <t>Jack</t>
  </si>
  <si>
    <t>Henry</t>
  </si>
  <si>
    <t>Bushendorf</t>
  </si>
  <si>
    <t>Behrendt</t>
  </si>
  <si>
    <t>Groene</t>
  </si>
  <si>
    <t>Robinson</t>
  </si>
  <si>
    <t>Lucas</t>
  </si>
  <si>
    <t>Hjelle</t>
  </si>
  <si>
    <t>Russell</t>
  </si>
  <si>
    <t>David</t>
  </si>
  <si>
    <t>Olivia</t>
  </si>
  <si>
    <t>Steven</t>
  </si>
  <si>
    <t>Kuch</t>
  </si>
  <si>
    <t>Erica</t>
  </si>
  <si>
    <t>Mitchell</t>
  </si>
  <si>
    <t>Eli</t>
  </si>
  <si>
    <t>Wolter</t>
  </si>
  <si>
    <t>Melissa</t>
  </si>
  <si>
    <t>Harms</t>
  </si>
  <si>
    <t>Amanda</t>
  </si>
  <si>
    <t>Howard</t>
  </si>
  <si>
    <t>Ojalvo</t>
  </si>
  <si>
    <t>Haus</t>
  </si>
  <si>
    <t>Jen</t>
  </si>
  <si>
    <t>Jayne</t>
  </si>
  <si>
    <t>Cole</t>
  </si>
  <si>
    <t>Ariel</t>
  </si>
  <si>
    <t>Sean</t>
  </si>
  <si>
    <t>Gibson</t>
  </si>
  <si>
    <t>Nora</t>
  </si>
  <si>
    <t>Serres</t>
  </si>
  <si>
    <t>Karin</t>
  </si>
  <si>
    <t>Lemagie</t>
  </si>
  <si>
    <t>Abbie</t>
  </si>
  <si>
    <t>Lukowicz</t>
  </si>
  <si>
    <t>Kate</t>
  </si>
  <si>
    <t>LaCroix</t>
  </si>
  <si>
    <t>Baeth</t>
  </si>
  <si>
    <t>Baude</t>
  </si>
  <si>
    <t>Bonner</t>
  </si>
  <si>
    <t>Travis</t>
  </si>
  <si>
    <t>French</t>
  </si>
  <si>
    <t>Underhill</t>
  </si>
  <si>
    <t>Caitlyn</t>
  </si>
  <si>
    <t>Witt</t>
  </si>
  <si>
    <t>Diego</t>
  </si>
  <si>
    <t>Reyes</t>
  </si>
  <si>
    <t>Deichert</t>
  </si>
  <si>
    <t>Murphy</t>
  </si>
  <si>
    <t>Kyra</t>
  </si>
  <si>
    <t>Schugt</t>
  </si>
  <si>
    <t>Hamm</t>
  </si>
  <si>
    <t>Lane</t>
  </si>
  <si>
    <t>Kristy</t>
  </si>
  <si>
    <t>Haupt</t>
  </si>
  <si>
    <t>Steinke</t>
  </si>
  <si>
    <t>Haley</t>
  </si>
  <si>
    <t>Caesar</t>
  </si>
  <si>
    <t>Galiano</t>
  </si>
  <si>
    <t>Wodtke</t>
  </si>
  <si>
    <t>YTD # of Group Runs</t>
  </si>
  <si>
    <r>
      <t xml:space="preserve">Waiver Signature         </t>
    </r>
    <r>
      <rPr>
        <i/>
        <sz val="12"/>
        <color theme="1"/>
        <rFont val="Calibri"/>
        <family val="2"/>
      </rPr>
      <t>(see Waiver posted above)</t>
    </r>
  </si>
  <si>
    <t>Reimringer</t>
  </si>
  <si>
    <t>Flannery</t>
  </si>
  <si>
    <t>Enneking-Norton</t>
  </si>
  <si>
    <t>Ronald</t>
  </si>
  <si>
    <t>Cheyenne</t>
  </si>
  <si>
    <t>Syvertson</t>
  </si>
  <si>
    <t>Ethan</t>
  </si>
  <si>
    <t>Komoroski</t>
  </si>
  <si>
    <t>Wiedemeier</t>
  </si>
  <si>
    <t>Jenne</t>
  </si>
  <si>
    <t>McLeod</t>
  </si>
  <si>
    <t>Van Wychen</t>
  </si>
  <si>
    <t>Scott Danger</t>
  </si>
  <si>
    <t>Grant</t>
  </si>
  <si>
    <t>Hasbrouck</t>
  </si>
  <si>
    <t>Ruth</t>
  </si>
  <si>
    <t>Friberg</t>
  </si>
  <si>
    <t>Stromberg</t>
  </si>
  <si>
    <t>Distel</t>
  </si>
  <si>
    <t>Tiffany</t>
  </si>
  <si>
    <t>Reifschneider</t>
  </si>
  <si>
    <t>Gonzalez</t>
  </si>
  <si>
    <t>Liya</t>
  </si>
  <si>
    <t>Ouyang</t>
  </si>
  <si>
    <t>Hofmaster</t>
  </si>
  <si>
    <t>Serina</t>
  </si>
  <si>
    <t>Hoskins</t>
  </si>
  <si>
    <t>Wermerskirchen</t>
  </si>
  <si>
    <t>LaFleur</t>
  </si>
  <si>
    <t>Brandt</t>
  </si>
  <si>
    <t>Tyler (Leopard)</t>
  </si>
  <si>
    <t>Dale</t>
  </si>
  <si>
    <t>Walberg</t>
  </si>
  <si>
    <t>Myers</t>
  </si>
  <si>
    <t>DeSaram</t>
  </si>
  <si>
    <t>Laurie</t>
  </si>
  <si>
    <t>Rupe</t>
  </si>
  <si>
    <t>Kayla</t>
  </si>
  <si>
    <t>Puent</t>
  </si>
  <si>
    <t>Disbrow</t>
  </si>
  <si>
    <t>Vongharath</t>
  </si>
  <si>
    <t>Eugene</t>
  </si>
  <si>
    <t>Bellin</t>
  </si>
  <si>
    <t>Gaarder</t>
  </si>
  <si>
    <t>Kaja</t>
  </si>
  <si>
    <t>Kierulf</t>
  </si>
  <si>
    <t>Matthew</t>
  </si>
  <si>
    <t>Ted</t>
  </si>
  <si>
    <t>Roseen</t>
  </si>
  <si>
    <t>Meyer</t>
  </si>
  <si>
    <t>Valerie</t>
  </si>
  <si>
    <t>Morel</t>
  </si>
  <si>
    <t>Skonieczny</t>
  </si>
  <si>
    <t>Graham</t>
  </si>
  <si>
    <t>William</t>
  </si>
  <si>
    <t>Fladland</t>
  </si>
  <si>
    <t>Duba</t>
  </si>
  <si>
    <t>Jim</t>
  </si>
  <si>
    <t>Chan</t>
  </si>
  <si>
    <t xml:space="preserve">Annika </t>
  </si>
  <si>
    <t>Spargo</t>
  </si>
  <si>
    <t>Duvick</t>
  </si>
  <si>
    <t>Metti</t>
  </si>
  <si>
    <t>Shank</t>
  </si>
  <si>
    <t>Denn</t>
  </si>
  <si>
    <t>Lezon</t>
  </si>
  <si>
    <t>Burrill</t>
  </si>
  <si>
    <t>Leaf</t>
  </si>
  <si>
    <t xml:space="preserve">Lila </t>
  </si>
  <si>
    <t>Kopp</t>
  </si>
  <si>
    <t>Shane</t>
  </si>
  <si>
    <t>Campbell</t>
  </si>
  <si>
    <t>Andy</t>
  </si>
  <si>
    <t>Aldrich</t>
  </si>
  <si>
    <t>Sagar</t>
  </si>
  <si>
    <t>Navare</t>
  </si>
  <si>
    <t>Daniel</t>
  </si>
  <si>
    <t>Koza</t>
  </si>
  <si>
    <t>Ordner</t>
  </si>
  <si>
    <t>Love</t>
  </si>
  <si>
    <t xml:space="preserve">Rob </t>
  </si>
  <si>
    <t>Swayze</t>
  </si>
  <si>
    <t>Somyi</t>
  </si>
  <si>
    <t>Casale</t>
  </si>
  <si>
    <t>Allison</t>
  </si>
  <si>
    <t>Forbes</t>
  </si>
  <si>
    <t>Stonesifer</t>
  </si>
  <si>
    <t>Tara</t>
  </si>
  <si>
    <t>Lizzy</t>
  </si>
  <si>
    <t>Norris</t>
  </si>
  <si>
    <t>Gavin</t>
  </si>
  <si>
    <t>Martin</t>
  </si>
  <si>
    <t>Modl</t>
  </si>
  <si>
    <t>Bauer</t>
  </si>
  <si>
    <t>Barber</t>
  </si>
  <si>
    <t>Tan (Canada)</t>
  </si>
  <si>
    <t>Niranjan</t>
  </si>
  <si>
    <t>Sathianathen</t>
  </si>
  <si>
    <t>Alyssa</t>
  </si>
  <si>
    <t>Singer</t>
  </si>
  <si>
    <t>Jordan</t>
  </si>
  <si>
    <t>Beth</t>
  </si>
  <si>
    <t>Libbesmeier</t>
  </si>
  <si>
    <t>Connor</t>
  </si>
  <si>
    <t>Hoff</t>
  </si>
  <si>
    <t>Lexi</t>
  </si>
  <si>
    <t>Scharmer</t>
  </si>
  <si>
    <t>Guimont</t>
  </si>
  <si>
    <t>Rush</t>
  </si>
  <si>
    <t>Nancy</t>
  </si>
  <si>
    <t>Hubert</t>
  </si>
  <si>
    <t>Don</t>
  </si>
  <si>
    <t>Soule</t>
  </si>
  <si>
    <t>Nate</t>
  </si>
  <si>
    <t>Jesse</t>
  </si>
  <si>
    <t>Goldfarb</t>
  </si>
  <si>
    <t>Kundrod</t>
  </si>
  <si>
    <t>Ian</t>
  </si>
  <si>
    <t>Bachman-Sanders</t>
  </si>
  <si>
    <t>Biswa</t>
  </si>
  <si>
    <t>Mohanty</t>
  </si>
  <si>
    <t>Lindsay</t>
  </si>
  <si>
    <t>Hoefert</t>
  </si>
  <si>
    <t>Harry Hoa</t>
  </si>
  <si>
    <t>Huynh</t>
  </si>
  <si>
    <t>Vaage</t>
  </si>
  <si>
    <t>Harris, Jr.</t>
  </si>
  <si>
    <t>Borer</t>
  </si>
  <si>
    <t>Kempf</t>
  </si>
  <si>
    <t>Kemp</t>
  </si>
  <si>
    <t xml:space="preserve">P.J. </t>
  </si>
  <si>
    <t>Saliterman</t>
  </si>
  <si>
    <t>Moeller</t>
  </si>
  <si>
    <t>Danny</t>
  </si>
  <si>
    <t>Housholder</t>
  </si>
  <si>
    <t>Marty</t>
  </si>
  <si>
    <t>Charest</t>
  </si>
  <si>
    <t>Jake</t>
  </si>
  <si>
    <t>Cohen</t>
  </si>
  <si>
    <t>Engrav</t>
  </si>
  <si>
    <t>Moulton</t>
  </si>
  <si>
    <t>Brittani</t>
  </si>
  <si>
    <t>Lamb</t>
  </si>
  <si>
    <t>Kristina</t>
  </si>
  <si>
    <t>Poss</t>
  </si>
  <si>
    <t>Tod</t>
  </si>
  <si>
    <t>Melton</t>
  </si>
  <si>
    <t>Bowman</t>
  </si>
  <si>
    <t>Flo</t>
  </si>
  <si>
    <t>Iverson</t>
  </si>
  <si>
    <t>Vanessa</t>
  </si>
  <si>
    <t>Vogl</t>
  </si>
  <si>
    <t>Ellie</t>
  </si>
  <si>
    <t>Jacobs</t>
  </si>
  <si>
    <t>Maria</t>
  </si>
  <si>
    <t>Razzoli</t>
  </si>
  <si>
    <t>Tommy</t>
  </si>
  <si>
    <t>Reger</t>
  </si>
  <si>
    <t>Jones</t>
  </si>
  <si>
    <t>Noah</t>
  </si>
  <si>
    <t>Slocum</t>
  </si>
  <si>
    <t>Bailey</t>
  </si>
  <si>
    <t>Rockwell</t>
  </si>
  <si>
    <t>Jayna</t>
  </si>
  <si>
    <t>Tomalty</t>
  </si>
  <si>
    <t>Micki</t>
  </si>
  <si>
    <t>Sawyer</t>
  </si>
  <si>
    <t>Monica</t>
  </si>
  <si>
    <t>Swanson</t>
  </si>
  <si>
    <t>Gregor</t>
  </si>
  <si>
    <t>Dylan</t>
  </si>
  <si>
    <t>Barrett</t>
  </si>
  <si>
    <t>Victoria</t>
  </si>
  <si>
    <t>Citrowske</t>
  </si>
  <si>
    <t>Kurt</t>
  </si>
  <si>
    <t>Neumann</t>
  </si>
  <si>
    <t>Walsworth</t>
  </si>
  <si>
    <t>Man</t>
  </si>
  <si>
    <t>Naomi</t>
  </si>
  <si>
    <t>Fenske</t>
  </si>
  <si>
    <t>Kyle</t>
  </si>
  <si>
    <t>Jessi</t>
  </si>
  <si>
    <t>Brody</t>
  </si>
  <si>
    <t>Casidy</t>
  </si>
  <si>
    <t>Nicholas</t>
  </si>
  <si>
    <t>Wimmer</t>
  </si>
  <si>
    <t>Joumana</t>
  </si>
  <si>
    <t>El Alaoui</t>
  </si>
  <si>
    <t>Sameera</t>
  </si>
  <si>
    <t>Nalla</t>
  </si>
  <si>
    <t>Fernando</t>
  </si>
  <si>
    <t>Nacionales</t>
  </si>
  <si>
    <t>Lemke</t>
  </si>
  <si>
    <t>Davin</t>
  </si>
  <si>
    <t>Haukebo-Bol</t>
  </si>
  <si>
    <t>Geyer</t>
  </si>
  <si>
    <t>Christine</t>
  </si>
  <si>
    <t>Plaza</t>
  </si>
  <si>
    <t>Stoner</t>
  </si>
  <si>
    <t>Juke</t>
  </si>
  <si>
    <t>Nukem</t>
  </si>
  <si>
    <t>Nick C.</t>
  </si>
  <si>
    <t>Petersen</t>
  </si>
  <si>
    <t>Meg</t>
  </si>
  <si>
    <t>Six</t>
  </si>
  <si>
    <t>Megan</t>
  </si>
  <si>
    <t>Stuart</t>
  </si>
  <si>
    <t>Singer-Berk</t>
  </si>
  <si>
    <t>McGanty</t>
  </si>
  <si>
    <t>Brady</t>
  </si>
  <si>
    <t>Gervais</t>
  </si>
  <si>
    <t>Liv</t>
  </si>
  <si>
    <t>Adrian</t>
  </si>
  <si>
    <t>Young</t>
  </si>
  <si>
    <t>Doebbert</t>
  </si>
  <si>
    <t>Kris</t>
  </si>
  <si>
    <t>Eve</t>
  </si>
  <si>
    <t>John</t>
  </si>
  <si>
    <t>Courtney</t>
  </si>
  <si>
    <t>Brauninge</t>
  </si>
  <si>
    <t>Woogen</t>
  </si>
  <si>
    <t>Franzen</t>
  </si>
  <si>
    <t>S</t>
  </si>
  <si>
    <t>Shoemaker</t>
  </si>
  <si>
    <t>Leisman</t>
  </si>
  <si>
    <t>Garritano</t>
  </si>
  <si>
    <t>Aaron</t>
  </si>
  <si>
    <t>Brenna</t>
  </si>
  <si>
    <t>Loufek</t>
  </si>
  <si>
    <t>Finn</t>
  </si>
  <si>
    <t>Elliot</t>
  </si>
  <si>
    <t>Derek</t>
  </si>
  <si>
    <t>Drake</t>
  </si>
  <si>
    <t>Kaci</t>
  </si>
  <si>
    <t>Esther</t>
  </si>
  <si>
    <t>Cathleen</t>
  </si>
  <si>
    <t>Pavel</t>
  </si>
  <si>
    <t>Zoe</t>
  </si>
  <si>
    <t>Reker</t>
  </si>
  <si>
    <t>Ingram</t>
  </si>
  <si>
    <t>McArthur</t>
  </si>
  <si>
    <t>Lawrence</t>
  </si>
  <si>
    <t>McCoy</t>
  </si>
  <si>
    <t>Gross</t>
  </si>
  <si>
    <t>Thies</t>
  </si>
  <si>
    <t>Saryzin</t>
  </si>
  <si>
    <t>Bararan</t>
  </si>
  <si>
    <t>Caitlin</t>
  </si>
  <si>
    <t>Eccles-Radtke</t>
  </si>
  <si>
    <t xml:space="preserve">Derek </t>
  </si>
  <si>
    <t>Landseidel</t>
  </si>
  <si>
    <t>Paulson</t>
  </si>
  <si>
    <t>Owen</t>
  </si>
  <si>
    <t>Nystrom</t>
  </si>
  <si>
    <t>Carter</t>
  </si>
  <si>
    <t>Stritch</t>
  </si>
  <si>
    <t>Robby</t>
  </si>
  <si>
    <t>Henderson</t>
  </si>
  <si>
    <t>Tayler</t>
  </si>
  <si>
    <t>Loiselle</t>
  </si>
  <si>
    <t>Siri</t>
  </si>
  <si>
    <t>Preston</t>
  </si>
  <si>
    <t>Wesselman</t>
  </si>
  <si>
    <t>Manson</t>
  </si>
  <si>
    <t>Ava</t>
  </si>
  <si>
    <t>Emery</t>
  </si>
  <si>
    <t>Hutchinson</t>
  </si>
  <si>
    <t>Quinn</t>
  </si>
  <si>
    <t>Jorgens</t>
  </si>
  <si>
    <t>Samantha</t>
  </si>
  <si>
    <t>Janchan</t>
  </si>
  <si>
    <t>Wegener</t>
  </si>
  <si>
    <t>Maya</t>
  </si>
  <si>
    <t>Christensen</t>
  </si>
  <si>
    <t>Maddie</t>
  </si>
  <si>
    <t>Ann</t>
  </si>
  <si>
    <t>Gay</t>
  </si>
  <si>
    <t>Jane</t>
  </si>
  <si>
    <t>Bolla</t>
  </si>
  <si>
    <t>Rourke</t>
  </si>
  <si>
    <t>Maves</t>
  </si>
  <si>
    <t>Meghann</t>
  </si>
  <si>
    <t>O'Day</t>
  </si>
  <si>
    <t>Christoforides</t>
  </si>
  <si>
    <t>Connolly</t>
  </si>
  <si>
    <t>Gill</t>
  </si>
  <si>
    <t>Ashley</t>
  </si>
  <si>
    <t>Whipps</t>
  </si>
  <si>
    <t>Tom</t>
  </si>
  <si>
    <t>Lyscio</t>
  </si>
  <si>
    <t>Gowdy-Jaehnig</t>
  </si>
  <si>
    <t>Deutsch</t>
  </si>
  <si>
    <t>Blaine</t>
  </si>
  <si>
    <t>Gudbjartsson</t>
  </si>
  <si>
    <t>Karl</t>
  </si>
  <si>
    <t>Noelle</t>
  </si>
  <si>
    <t>Tyler</t>
  </si>
  <si>
    <t>Brennan</t>
  </si>
  <si>
    <t>Grace</t>
  </si>
  <si>
    <t>Flinsch</t>
  </si>
  <si>
    <t>Mollie</t>
  </si>
  <si>
    <t>Gabrys-Lake</t>
  </si>
  <si>
    <t>Kori</t>
  </si>
  <si>
    <t>Osina</t>
  </si>
  <si>
    <t>Shauna</t>
  </si>
  <si>
    <t>Goulet</t>
  </si>
  <si>
    <t>Elizabeth</t>
  </si>
  <si>
    <t>Nicky</t>
  </si>
  <si>
    <t>Ziolkowski</t>
  </si>
  <si>
    <t>Thorson</t>
  </si>
  <si>
    <t>Dwyer</t>
  </si>
  <si>
    <t>Eldridge</t>
  </si>
  <si>
    <t>Moran</t>
  </si>
  <si>
    <t>Wade</t>
  </si>
  <si>
    <t>Ostroot</t>
  </si>
  <si>
    <t>Natalia</t>
  </si>
  <si>
    <t>Mendez</t>
  </si>
  <si>
    <t>Schoephoerster</t>
  </si>
  <si>
    <t>Kale</t>
  </si>
  <si>
    <t>Fischer</t>
  </si>
  <si>
    <t>Keeler</t>
  </si>
  <si>
    <t>Marissa</t>
  </si>
  <si>
    <t>Fellenz</t>
  </si>
  <si>
    <t>Neill</t>
  </si>
  <si>
    <t>Isaac</t>
  </si>
  <si>
    <t>Secor</t>
  </si>
  <si>
    <t>Pillman</t>
  </si>
  <si>
    <t>TUE</t>
  </si>
  <si>
    <t>WED</t>
  </si>
  <si>
    <t>FRI</t>
  </si>
  <si>
    <t>LONG RUN</t>
  </si>
  <si>
    <t>Unique Runners</t>
  </si>
  <si>
    <t>Week of:</t>
  </si>
  <si>
    <t>03/21-03/24/17</t>
  </si>
  <si>
    <t>03/28-03/31/17</t>
  </si>
  <si>
    <t>Grotting</t>
  </si>
  <si>
    <t>Sarita</t>
  </si>
  <si>
    <t>Ross</t>
  </si>
  <si>
    <t>Kevin</t>
  </si>
  <si>
    <t>Catalano</t>
  </si>
  <si>
    <t>Marcia</t>
  </si>
  <si>
    <t>Archibald</t>
  </si>
  <si>
    <t>Escher</t>
  </si>
  <si>
    <t>Becky</t>
  </si>
  <si>
    <t>Kraft</t>
  </si>
  <si>
    <t>Feltault</t>
  </si>
  <si>
    <t>Julian</t>
  </si>
  <si>
    <t>Hering</t>
  </si>
  <si>
    <t>Strangfeld</t>
  </si>
  <si>
    <t>Celia</t>
  </si>
  <si>
    <t>Hemmerich</t>
  </si>
  <si>
    <t>Assefu</t>
  </si>
  <si>
    <t>Robin</t>
  </si>
  <si>
    <t>Windsperger</t>
  </si>
  <si>
    <t>Stabenow</t>
  </si>
  <si>
    <t>Tullika</t>
  </si>
  <si>
    <t>Saraf</t>
  </si>
  <si>
    <t>Sol</t>
  </si>
  <si>
    <t>Madi</t>
  </si>
  <si>
    <t>Sundlof</t>
  </si>
  <si>
    <t>James</t>
  </si>
  <si>
    <r>
      <t>Sa</t>
    </r>
    <r>
      <rPr>
        <sz val="12"/>
        <rFont val="Calibri"/>
        <family val="2"/>
      </rPr>
      <t>š</t>
    </r>
    <r>
      <rPr>
        <sz val="12"/>
        <rFont val="Calibri"/>
        <family val="2"/>
        <scheme val="minor"/>
      </rPr>
      <t>a</t>
    </r>
  </si>
  <si>
    <r>
      <t>Jo</t>
    </r>
    <r>
      <rPr>
        <sz val="12"/>
        <rFont val="Calibri"/>
        <family val="2"/>
      </rPr>
      <t>š</t>
    </r>
    <r>
      <rPr>
        <sz val="12"/>
        <rFont val="Calibri"/>
        <family val="2"/>
        <scheme val="minor"/>
      </rPr>
      <t>avich</t>
    </r>
  </si>
  <si>
    <t>Dean</t>
  </si>
  <si>
    <t>Harris</t>
  </si>
  <si>
    <t>Hochstein</t>
  </si>
  <si>
    <t>Steph</t>
  </si>
  <si>
    <t>Greer</t>
  </si>
  <si>
    <t>Danielle</t>
  </si>
  <si>
    <t>Louwagie</t>
  </si>
  <si>
    <t>Neutzman</t>
  </si>
  <si>
    <t>Smyre</t>
  </si>
  <si>
    <t>Kathryn</t>
  </si>
  <si>
    <t>Keller-Miller</t>
  </si>
  <si>
    <t>Dennis</t>
  </si>
  <si>
    <t>Curran</t>
  </si>
  <si>
    <t>Jimmy</t>
  </si>
  <si>
    <t>Bellamy</t>
  </si>
  <si>
    <t>Bre</t>
  </si>
  <si>
    <t>Lindholm</t>
  </si>
  <si>
    <t>Behr</t>
  </si>
  <si>
    <t>Wesley</t>
  </si>
  <si>
    <t>Gardner</t>
  </si>
  <si>
    <t>Leatherman</t>
  </si>
  <si>
    <t>Jenna</t>
  </si>
  <si>
    <t>Yeakle</t>
  </si>
  <si>
    <t>04/04-04/08/17</t>
  </si>
  <si>
    <t>04/18-04/21/17</t>
  </si>
  <si>
    <t>04/24-04/28/17</t>
  </si>
  <si>
    <t>04/11-04/14/17</t>
  </si>
  <si>
    <t>Ponto</t>
  </si>
  <si>
    <t>Clare</t>
  </si>
  <si>
    <t>Boyer</t>
  </si>
  <si>
    <t>Kristen</t>
  </si>
  <si>
    <t>Liz</t>
  </si>
  <si>
    <t>Anne</t>
  </si>
  <si>
    <t>Reilly</t>
  </si>
  <si>
    <t>Raymond</t>
  </si>
  <si>
    <t>Eliza</t>
  </si>
  <si>
    <t>Rachel</t>
  </si>
  <si>
    <t>Jill</t>
  </si>
  <si>
    <t>Nathan</t>
  </si>
  <si>
    <t>Kari</t>
  </si>
  <si>
    <t>Gabby</t>
  </si>
  <si>
    <t>Carrie</t>
  </si>
  <si>
    <t>Gina</t>
  </si>
  <si>
    <t>Luckenbach</t>
  </si>
  <si>
    <t>Hixson</t>
  </si>
  <si>
    <t>Schueller</t>
  </si>
  <si>
    <t>Whitehouse</t>
  </si>
  <si>
    <t>Maurer</t>
  </si>
  <si>
    <t>Bishop</t>
  </si>
  <si>
    <t>Steigaut</t>
  </si>
  <si>
    <t>Luna</t>
  </si>
  <si>
    <t>Sharif</t>
  </si>
  <si>
    <t>Leahy</t>
  </si>
  <si>
    <t>Kehl</t>
  </si>
  <si>
    <t>Veglahn</t>
  </si>
  <si>
    <t>Richards</t>
  </si>
  <si>
    <t>Wang</t>
  </si>
  <si>
    <t>Vowels</t>
  </si>
  <si>
    <t>Somers</t>
  </si>
  <si>
    <t>Twedt</t>
  </si>
  <si>
    <t>Alvarez</t>
  </si>
  <si>
    <t>Chrudimsky</t>
  </si>
  <si>
    <t>Forliti</t>
  </si>
  <si>
    <t>Vitali</t>
  </si>
  <si>
    <t>Zenanko</t>
  </si>
  <si>
    <t>Tue Newbies</t>
  </si>
  <si>
    <t>TOTAL Newbies</t>
  </si>
  <si>
    <t>Wed Newbies</t>
  </si>
  <si>
    <t>Long Run Newbies</t>
  </si>
  <si>
    <t>Yapp</t>
  </si>
  <si>
    <t>Goodrich</t>
  </si>
  <si>
    <t>Kovar</t>
  </si>
  <si>
    <t>Diane</t>
  </si>
  <si>
    <t>Hahn</t>
  </si>
  <si>
    <t>Oksness</t>
  </si>
  <si>
    <t>Halbersma</t>
  </si>
  <si>
    <t>Loyal</t>
  </si>
  <si>
    <t>Becca</t>
  </si>
  <si>
    <t>Stabler</t>
  </si>
  <si>
    <t>Elbert</t>
  </si>
  <si>
    <t>Mathieu</t>
  </si>
  <si>
    <t>Schintz</t>
  </si>
  <si>
    <t>Benjamin</t>
  </si>
  <si>
    <t>Ahner</t>
  </si>
  <si>
    <t>Seth</t>
  </si>
  <si>
    <t>Salenger</t>
  </si>
  <si>
    <t>Pokorski</t>
  </si>
  <si>
    <t>Joan</t>
  </si>
  <si>
    <t>Stephen</t>
  </si>
  <si>
    <t>Maturen</t>
  </si>
  <si>
    <t>Alisa</t>
  </si>
  <si>
    <t>Heskin</t>
  </si>
  <si>
    <t>Burbano</t>
  </si>
  <si>
    <t>Wocken</t>
  </si>
  <si>
    <t xml:space="preserve">Sarah </t>
  </si>
  <si>
    <t>Torchia</t>
  </si>
  <si>
    <t>Cody</t>
  </si>
  <si>
    <t>Lynch</t>
  </si>
  <si>
    <t>Cameron</t>
  </si>
  <si>
    <t>Quie</t>
  </si>
  <si>
    <t>Savannah</t>
  </si>
  <si>
    <t>Gillund</t>
  </si>
  <si>
    <t>Terence</t>
  </si>
  <si>
    <t>05/01-05/05/17</t>
  </si>
  <si>
    <t>Jay</t>
  </si>
  <si>
    <t>Kistler</t>
  </si>
  <si>
    <t>Prebish</t>
  </si>
  <si>
    <t>Paxton</t>
  </si>
  <si>
    <t>Huberty</t>
  </si>
  <si>
    <t>Kiera</t>
  </si>
  <si>
    <t>Depies</t>
  </si>
  <si>
    <t>Ronnie</t>
  </si>
  <si>
    <t>Stimson</t>
  </si>
  <si>
    <t xml:space="preserve">Andrew </t>
  </si>
  <si>
    <t xml:space="preserve">Steve </t>
  </si>
  <si>
    <t>Norwick</t>
  </si>
  <si>
    <t>Sanville</t>
  </si>
  <si>
    <t>Fri Newbies</t>
  </si>
  <si>
    <t>05/08-05/13/17</t>
  </si>
  <si>
    <t>Sandy</t>
  </si>
  <si>
    <t>Herzer</t>
  </si>
  <si>
    <t>Xiaosiqi</t>
  </si>
  <si>
    <t>Yang</t>
  </si>
  <si>
    <t>Rogers</t>
  </si>
  <si>
    <t>Tiashana Ti</t>
  </si>
  <si>
    <t>Phelps</t>
  </si>
  <si>
    <t>Smith</t>
  </si>
  <si>
    <t>Gams</t>
  </si>
  <si>
    <t>Petrik</t>
  </si>
  <si>
    <t>Aneesha</t>
  </si>
  <si>
    <t>Kang</t>
  </si>
  <si>
    <t>Spagnola</t>
  </si>
  <si>
    <t>Lewandowski</t>
  </si>
  <si>
    <t>Victor</t>
  </si>
  <si>
    <t>Sharon</t>
  </si>
  <si>
    <t>Perrone</t>
  </si>
  <si>
    <t>Moore</t>
  </si>
  <si>
    <t>Lori</t>
  </si>
  <si>
    <t>Klongtruatreke</t>
  </si>
  <si>
    <t>Kaylee</t>
  </si>
  <si>
    <t>Guttormson</t>
  </si>
  <si>
    <t>Mariah</t>
  </si>
  <si>
    <t>Aurora</t>
  </si>
  <si>
    <t>Kristi</t>
  </si>
  <si>
    <t>Tanouye</t>
  </si>
  <si>
    <t>Dominique</t>
  </si>
  <si>
    <t>Sepe</t>
  </si>
  <si>
    <t>Stacy</t>
  </si>
  <si>
    <t>Sundet</t>
  </si>
  <si>
    <t>Ellen</t>
  </si>
  <si>
    <t>Keal</t>
  </si>
  <si>
    <t>Steen</t>
  </si>
  <si>
    <t>Kent</t>
  </si>
  <si>
    <t>Kilbury</t>
  </si>
  <si>
    <t>Himre</t>
  </si>
  <si>
    <t>Sat 3/25</t>
  </si>
  <si>
    <t xml:space="preserve">O'Gara's Irish 8K </t>
  </si>
  <si>
    <t>Sat 4/29</t>
  </si>
  <si>
    <t>Thu 5/11</t>
  </si>
  <si>
    <t>TC 1-Mile</t>
  </si>
  <si>
    <t>2017 MCR Race Team - Circuit Races</t>
  </si>
  <si>
    <t>Mon 5/29</t>
  </si>
  <si>
    <t>Brian Kraft Memorial 5K</t>
  </si>
  <si>
    <t>Sat 6/17</t>
  </si>
  <si>
    <t>Grandma's Marathon</t>
  </si>
  <si>
    <t>Raspberry Festival</t>
  </si>
  <si>
    <t>Sun 7/16</t>
  </si>
  <si>
    <t>Sun 8/6</t>
  </si>
  <si>
    <t>MDRA 15K</t>
  </si>
  <si>
    <t>Mon 9/4</t>
  </si>
  <si>
    <t>Sun 9/10</t>
  </si>
  <si>
    <t>City of Lakes Half-Marathon</t>
  </si>
  <si>
    <t>Sun 10/1</t>
  </si>
  <si>
    <t>TC 10-Mile</t>
  </si>
  <si>
    <t>Get In Gear</t>
  </si>
  <si>
    <t>Victory Labor Day 10K</t>
  </si>
  <si>
    <t>5 miles</t>
  </si>
  <si>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6.2 miles</t>
    </r>
  </si>
  <si>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1 mile</t>
    </r>
  </si>
  <si>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3.1 miles</t>
    </r>
  </si>
  <si>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26.2 miles</t>
    </r>
  </si>
  <si>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9.3 miles</t>
    </r>
  </si>
  <si>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13.1  miles</t>
    </r>
  </si>
  <si>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10  miles</t>
    </r>
  </si>
  <si>
    <t>Debevec</t>
  </si>
  <si>
    <t>Jo</t>
  </si>
  <si>
    <t>O'Hanley</t>
  </si>
  <si>
    <t>Rae</t>
  </si>
  <si>
    <t>Hale</t>
  </si>
  <si>
    <t>Kristine</t>
  </si>
  <si>
    <t>Adams</t>
  </si>
  <si>
    <t>Myles</t>
  </si>
  <si>
    <t>Lyndsey</t>
  </si>
  <si>
    <t>Ruhland</t>
  </si>
  <si>
    <t>Leonard</t>
  </si>
  <si>
    <t>Geis</t>
  </si>
  <si>
    <t>Hub</t>
  </si>
  <si>
    <t>Olena</t>
  </si>
  <si>
    <t>Koloneybera</t>
  </si>
  <si>
    <t>Riser</t>
  </si>
  <si>
    <t>Holck</t>
  </si>
  <si>
    <t>Conrad</t>
  </si>
  <si>
    <t>Yee</t>
  </si>
  <si>
    <t>Lee</t>
  </si>
  <si>
    <t>Dirk</t>
  </si>
  <si>
    <t>Pomeroy</t>
  </si>
  <si>
    <t>Campeau</t>
  </si>
  <si>
    <t>25+ MILE CLUB</t>
  </si>
  <si>
    <t>UNDER 25 Miles</t>
  </si>
  <si>
    <t>50+ MILE CLUB</t>
  </si>
  <si>
    <t>05/15-05/19/17</t>
  </si>
  <si>
    <t>05/22-05/26/17</t>
  </si>
  <si>
    <t>Gustafson</t>
  </si>
  <si>
    <t>True</t>
  </si>
  <si>
    <t>Dirks</t>
  </si>
  <si>
    <t>Tiampo</t>
  </si>
  <si>
    <t>Lesley</t>
  </si>
  <si>
    <t>Grans</t>
  </si>
  <si>
    <t>Risa</t>
  </si>
  <si>
    <t>Hustad</t>
  </si>
  <si>
    <t>Skye</t>
  </si>
  <si>
    <t>Trapp</t>
  </si>
  <si>
    <t>Lau</t>
  </si>
  <si>
    <t>Janice</t>
  </si>
  <si>
    <t>05/30-06/02/17</t>
  </si>
  <si>
    <t>06/06-06/10/17</t>
  </si>
  <si>
    <t>Struksheats</t>
  </si>
  <si>
    <t>Yihan</t>
  </si>
  <si>
    <t>Wu</t>
  </si>
  <si>
    <t>K2</t>
  </si>
  <si>
    <t>Liam</t>
  </si>
  <si>
    <t>Lake</t>
  </si>
  <si>
    <t>Hernandez</t>
  </si>
  <si>
    <t>Elyse</t>
  </si>
  <si>
    <t>Krautkramer</t>
  </si>
  <si>
    <t>Brie</t>
  </si>
  <si>
    <t>Deloski</t>
  </si>
  <si>
    <t>Usitalo</t>
  </si>
  <si>
    <t>Willing</t>
  </si>
  <si>
    <t>Gillian</t>
  </si>
  <si>
    <t>Koch</t>
  </si>
  <si>
    <t>Molly</t>
  </si>
  <si>
    <t>Swanz</t>
  </si>
  <si>
    <t>Misty</t>
  </si>
  <si>
    <t>Watkins</t>
  </si>
  <si>
    <t>Lyons</t>
  </si>
  <si>
    <t>Klevier</t>
  </si>
  <si>
    <t>Kaiser</t>
  </si>
  <si>
    <t>Joey</t>
  </si>
  <si>
    <t>Sulzer</t>
  </si>
  <si>
    <t>Cydney</t>
  </si>
  <si>
    <t>Gaines</t>
  </si>
  <si>
    <t>Skyler</t>
  </si>
  <si>
    <t>Stensrud</t>
  </si>
  <si>
    <t>Rodewald</t>
  </si>
  <si>
    <t>Meggie</t>
  </si>
  <si>
    <t>Exner</t>
  </si>
  <si>
    <t>Scarbro</t>
  </si>
  <si>
    <t>Julia</t>
  </si>
  <si>
    <t>Macy</t>
  </si>
  <si>
    <t>Johannsen</t>
  </si>
  <si>
    <t>Joelle</t>
  </si>
  <si>
    <t>Bender</t>
  </si>
  <si>
    <t>Levi</t>
  </si>
  <si>
    <t>Mills</t>
  </si>
  <si>
    <t>Terri</t>
  </si>
  <si>
    <t>Lindenbaum</t>
  </si>
  <si>
    <t>Colleen</t>
  </si>
  <si>
    <t>Bell</t>
  </si>
  <si>
    <t>Claire</t>
  </si>
  <si>
    <t>Walling</t>
  </si>
  <si>
    <t>O'Gara</t>
  </si>
  <si>
    <t>Boedeker</t>
  </si>
  <si>
    <t>Brad</t>
  </si>
  <si>
    <t>Ryland</t>
  </si>
  <si>
    <t>Olfelt</t>
  </si>
  <si>
    <t>Staples</t>
  </si>
  <si>
    <t>Jess</t>
  </si>
  <si>
    <t>Schulz</t>
  </si>
  <si>
    <t>Aine</t>
  </si>
  <si>
    <t>Nea</t>
  </si>
  <si>
    <t>Bal</t>
  </si>
  <si>
    <t>06/13-06/16/17</t>
  </si>
  <si>
    <t>06/20-06/23/17</t>
  </si>
  <si>
    <t>06/27-06/30/17</t>
  </si>
  <si>
    <t>Kleinke</t>
  </si>
  <si>
    <t>Deaver</t>
  </si>
  <si>
    <t>Magnus-Lawson</t>
  </si>
  <si>
    <t>Dare</t>
  </si>
  <si>
    <t>Doenges</t>
  </si>
  <si>
    <t>Petra</t>
  </si>
  <si>
    <t>Einaugler</t>
  </si>
  <si>
    <t>Tusi</t>
  </si>
  <si>
    <t>Marwah</t>
  </si>
  <si>
    <t>Annie</t>
  </si>
  <si>
    <t>Tyner</t>
  </si>
  <si>
    <t>Falesnik</t>
  </si>
  <si>
    <t>Drowes</t>
  </si>
  <si>
    <t>Marie</t>
  </si>
  <si>
    <t>Bret</t>
  </si>
  <si>
    <t>Fynewever</t>
  </si>
  <si>
    <t>Hunt</t>
  </si>
  <si>
    <t>Dan Thor</t>
  </si>
  <si>
    <t>LaLonde</t>
  </si>
  <si>
    <t>Copenhaver</t>
  </si>
  <si>
    <t>Tolan</t>
  </si>
  <si>
    <t>Rebecca</t>
  </si>
  <si>
    <t>Hare</t>
  </si>
  <si>
    <t>Tuaolo</t>
  </si>
  <si>
    <t>Rosalie</t>
  </si>
  <si>
    <t>Michelle</t>
  </si>
  <si>
    <t>Eboch</t>
  </si>
  <si>
    <t>Amundson</t>
  </si>
  <si>
    <t>McCall</t>
  </si>
  <si>
    <t>Ray</t>
  </si>
  <si>
    <t>Flores</t>
  </si>
  <si>
    <t>Karisa</t>
  </si>
  <si>
    <t>Fedorchak</t>
  </si>
  <si>
    <t>Cassie</t>
  </si>
  <si>
    <t>Dahl</t>
  </si>
  <si>
    <t>Elena</t>
  </si>
  <si>
    <t>Forsline</t>
  </si>
  <si>
    <t>Huridion (sp?)</t>
  </si>
  <si>
    <t>Sabro (sp?)</t>
  </si>
  <si>
    <t>Bebeau</t>
  </si>
  <si>
    <t>Jeni</t>
  </si>
  <si>
    <t>Aisling</t>
  </si>
  <si>
    <t>Reynolds</t>
  </si>
  <si>
    <t>Mikkalo</t>
  </si>
  <si>
    <t>Brown</t>
  </si>
  <si>
    <t>Abe</t>
  </si>
  <si>
    <t>Diaz</t>
  </si>
  <si>
    <t>Coyle</t>
  </si>
  <si>
    <t>Slenger</t>
  </si>
  <si>
    <t>Marolyn</t>
  </si>
  <si>
    <t>Saulsberry</t>
  </si>
  <si>
    <t>Kerri</t>
  </si>
  <si>
    <t>Neitzel</t>
  </si>
  <si>
    <t>Carolyn</t>
  </si>
  <si>
    <t>Dienhart</t>
  </si>
  <si>
    <t>Brinna</t>
  </si>
  <si>
    <t>Zimmer</t>
  </si>
  <si>
    <t>Sylvie</t>
  </si>
  <si>
    <t>Roberts</t>
  </si>
  <si>
    <t>Seng</t>
  </si>
  <si>
    <t>Ernst</t>
  </si>
  <si>
    <t>Baide</t>
  </si>
  <si>
    <t>Holzemer</t>
  </si>
  <si>
    <t>Schutz</t>
  </si>
  <si>
    <t>Moyer</t>
  </si>
  <si>
    <t>Choyke</t>
  </si>
  <si>
    <t>Carol</t>
  </si>
  <si>
    <t>Barry</t>
  </si>
  <si>
    <t>Christenson</t>
  </si>
  <si>
    <t>Holly</t>
  </si>
  <si>
    <t>Rozelle</t>
  </si>
  <si>
    <t>Manning</t>
  </si>
  <si>
    <t>Stenger</t>
  </si>
  <si>
    <t>Hager</t>
  </si>
  <si>
    <t>Jenell</t>
  </si>
  <si>
    <t>Lammers</t>
  </si>
  <si>
    <t>Carmen</t>
  </si>
  <si>
    <t>Wagener</t>
  </si>
  <si>
    <t>Johnsrud</t>
  </si>
  <si>
    <t xml:space="preserve">Eisenreich </t>
  </si>
  <si>
    <t>WED 7/5</t>
  </si>
  <si>
    <t>FRI 7/7</t>
  </si>
  <si>
    <t>SAT 7/8</t>
  </si>
  <si>
    <t>TUE 7/11</t>
  </si>
  <si>
    <t>Trail Run</t>
  </si>
  <si>
    <t>Zastrow</t>
  </si>
  <si>
    <t>Pintar</t>
  </si>
  <si>
    <t>Schellack</t>
  </si>
  <si>
    <t>Allen</t>
  </si>
  <si>
    <t>Schren</t>
  </si>
  <si>
    <t>Driessen</t>
  </si>
  <si>
    <t>Maren</t>
  </si>
  <si>
    <t>Betterman</t>
  </si>
  <si>
    <t>Shan</t>
  </si>
  <si>
    <t>Sherif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</si>
</sst>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;@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rgb="FFFF0066"/>
      <name val="Cambria"/>
      <family val="1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i/>
      <sz val="12"/>
      <color theme="1"/>
      <name val="Calibri"/>
      <family val="2"/>
    </font>
    <font>
      <b/>
      <i/>
      <sz val="14"/>
      <color theme="1"/>
      <name val="Calibri"/>
      <family val="2"/>
    </font>
    <font>
      <sz val="14"/>
      <color rgb="FF006600"/>
      <name val="Calibri"/>
      <family val="2"/>
      <scheme val="minor"/>
    </font>
    <font>
      <b/>
      <i/>
      <sz val="11"/>
      <color rgb="FF0066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CC"/>
      <name val="Calibri"/>
      <family val="2"/>
      <scheme val="minor"/>
    </font>
    <font>
      <i/>
      <sz val="11"/>
      <color rgb="FF0099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4"/>
      <color theme="0" tint="-0.14999847407452621"/>
      <name val="Calibri"/>
      <family val="2"/>
      <scheme val="minor"/>
    </font>
    <font>
      <i/>
      <sz val="16"/>
      <color theme="2" tint="-9.9978637043366805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14" fontId="2" fillId="2" borderId="1" xfId="0" applyNumberFormat="1" applyFont="1" applyFill="1" applyBorder="1"/>
    <xf numFmtId="0" fontId="0" fillId="2" borderId="1" xfId="0" applyFill="1" applyBorder="1"/>
    <xf numFmtId="0" fontId="0" fillId="0" borderId="1" xfId="0" applyBorder="1"/>
    <xf numFmtId="0" fontId="1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0" fontId="5" fillId="0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16" fontId="1" fillId="2" borderId="1" xfId="0" applyNumberFormat="1" applyFont="1" applyFill="1" applyBorder="1" applyAlignment="1">
      <alignment horizontal="center" wrapText="1"/>
    </xf>
    <xf numFmtId="0" fontId="5" fillId="0" borderId="1" xfId="0" applyFont="1" applyBorder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9" fillId="0" borderId="1" xfId="0" applyFont="1" applyFill="1" applyBorder="1"/>
    <xf numFmtId="0" fontId="5" fillId="0" borderId="0" xfId="0" applyFont="1" applyFill="1"/>
    <xf numFmtId="0" fontId="7" fillId="0" borderId="1" xfId="0" applyFont="1" applyFill="1" applyBorder="1"/>
    <xf numFmtId="0" fontId="7" fillId="0" borderId="0" xfId="0" applyFont="1" applyFill="1" applyBorder="1"/>
    <xf numFmtId="0" fontId="5" fillId="0" borderId="0" xfId="0" applyFont="1"/>
    <xf numFmtId="0" fontId="5" fillId="0" borderId="0" xfId="0" applyFont="1" applyBorder="1"/>
    <xf numFmtId="0" fontId="8" fillId="0" borderId="1" xfId="0" applyFont="1" applyBorder="1"/>
    <xf numFmtId="0" fontId="5" fillId="0" borderId="2" xfId="0" applyFont="1" applyBorder="1"/>
    <xf numFmtId="14" fontId="5" fillId="0" borderId="1" xfId="0" applyNumberFormat="1" applyFont="1" applyFill="1" applyBorder="1"/>
    <xf numFmtId="16" fontId="5" fillId="0" borderId="1" xfId="0" applyNumberFormat="1" applyFont="1" applyFill="1" applyBorder="1"/>
    <xf numFmtId="164" fontId="5" fillId="0" borderId="1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0" fillId="0" borderId="3" xfId="0" applyBorder="1"/>
    <xf numFmtId="0" fontId="13" fillId="0" borderId="1" xfId="0" applyFont="1" applyBorder="1" applyAlignment="1">
      <alignment wrapText="1"/>
    </xf>
    <xf numFmtId="164" fontId="14" fillId="0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/>
    </xf>
    <xf numFmtId="16" fontId="0" fillId="2" borderId="1" xfId="0" applyNumberFormat="1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7" fillId="0" borderId="1" xfId="0" applyFont="1" applyFill="1" applyBorder="1"/>
    <xf numFmtId="0" fontId="17" fillId="0" borderId="1" xfId="0" applyFont="1" applyBorder="1"/>
    <xf numFmtId="0" fontId="7" fillId="0" borderId="1" xfId="0" applyFont="1" applyFill="1" applyBorder="1" applyAlignment="1">
      <alignment horizontal="center" wrapText="1"/>
    </xf>
    <xf numFmtId="165" fontId="17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165" fontId="17" fillId="0" borderId="1" xfId="0" applyNumberFormat="1" applyFont="1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4" borderId="0" xfId="0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23" fillId="5" borderId="0" xfId="0" applyFont="1" applyFill="1" applyAlignment="1">
      <alignment horizontal="center"/>
    </xf>
    <xf numFmtId="165" fontId="17" fillId="0" borderId="1" xfId="1" applyNumberFormat="1" applyFont="1" applyFill="1" applyBorder="1" applyAlignment="1">
      <alignment horizontal="right" wrapText="1"/>
    </xf>
    <xf numFmtId="0" fontId="24" fillId="0" borderId="1" xfId="0" applyFont="1" applyBorder="1" applyAlignment="1">
      <alignment horizontal="center" wrapText="1"/>
    </xf>
    <xf numFmtId="165" fontId="17" fillId="0" borderId="1" xfId="1" applyNumberFormat="1" applyFont="1" applyFill="1" applyBorder="1" applyAlignment="1">
      <alignment horizontal="right"/>
    </xf>
    <xf numFmtId="0" fontId="0" fillId="0" borderId="0" xfId="0" applyFill="1"/>
    <xf numFmtId="0" fontId="0" fillId="0" borderId="5" xfId="0" applyBorder="1"/>
    <xf numFmtId="14" fontId="27" fillId="2" borderId="12" xfId="0" applyNumberFormat="1" applyFont="1" applyFill="1" applyBorder="1" applyAlignment="1">
      <alignment horizontal="center" vertical="center" wrapText="1"/>
    </xf>
    <xf numFmtId="14" fontId="27" fillId="2" borderId="7" xfId="0" applyNumberFormat="1" applyFont="1" applyFill="1" applyBorder="1" applyAlignment="1">
      <alignment horizontal="center" vertical="center" wrapText="1"/>
    </xf>
    <xf numFmtId="14" fontId="25" fillId="2" borderId="1" xfId="0" applyNumberFormat="1" applyFont="1" applyFill="1" applyBorder="1" applyAlignment="1">
      <alignment horizontal="center" vertical="center" wrapText="1"/>
    </xf>
    <xf numFmtId="14" fontId="25" fillId="2" borderId="4" xfId="0" applyNumberFormat="1" applyFont="1" applyFill="1" applyBorder="1" applyAlignment="1">
      <alignment horizontal="center" vertical="center" wrapText="1"/>
    </xf>
    <xf numFmtId="14" fontId="25" fillId="2" borderId="6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17" fillId="0" borderId="1" xfId="0" quotePrefix="1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2" fillId="2" borderId="1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FFFF00"/>
      <color rgb="FF0000CC"/>
      <color rgb="FFCCFF99"/>
      <color rgb="FF009900"/>
      <color rgb="FFFFFFCC"/>
      <color rgb="FFCCECFF"/>
      <color rgb="FF006600"/>
      <color rgb="FFFFCC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Normal="100" workbookViewId="0">
      <selection activeCell="B3" sqref="B3"/>
    </sheetView>
  </sheetViews>
  <sheetFormatPr defaultRowHeight="15" x14ac:dyDescent="0.25"/>
  <cols>
    <col min="1" max="1" width="23.28515625" customWidth="1"/>
    <col min="2" max="2" width="29.42578125" customWidth="1"/>
    <col min="3" max="3" width="26.7109375" customWidth="1"/>
    <col min="4" max="4" width="13.7109375" hidden="1" customWidth="1"/>
    <col min="5" max="6" width="13.7109375" customWidth="1"/>
    <col min="7" max="7" width="11.7109375" customWidth="1"/>
    <col min="9" max="10" width="7.140625" customWidth="1"/>
  </cols>
  <sheetData>
    <row r="1" spans="1:23" ht="30" x14ac:dyDescent="0.4">
      <c r="A1" s="12" t="s">
        <v>4</v>
      </c>
      <c r="B1" s="3" t="s">
        <v>7</v>
      </c>
      <c r="C1" s="33"/>
      <c r="D1" s="3"/>
      <c r="E1" s="2"/>
      <c r="F1" s="4"/>
      <c r="G1" s="36" t="s">
        <v>8</v>
      </c>
      <c r="H1" s="9" t="s">
        <v>9</v>
      </c>
      <c r="I1" s="10"/>
      <c r="J1" s="10"/>
      <c r="K1" s="10"/>
      <c r="L1" s="10"/>
      <c r="M1" s="10"/>
      <c r="N1" s="10"/>
    </row>
    <row r="2" spans="1:23" ht="34.5" customHeight="1" x14ac:dyDescent="0.3">
      <c r="A2" s="1" t="s">
        <v>11</v>
      </c>
      <c r="B2" s="1" t="s">
        <v>12</v>
      </c>
      <c r="C2" s="34" t="s">
        <v>329</v>
      </c>
      <c r="D2" s="8" t="s">
        <v>1061</v>
      </c>
      <c r="E2" s="14" t="s">
        <v>1058</v>
      </c>
      <c r="F2" s="7" t="s">
        <v>1059</v>
      </c>
      <c r="G2" s="35" t="s">
        <v>1060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30" customHeight="1" x14ac:dyDescent="0.35">
      <c r="A3" s="75" t="s">
        <v>10</v>
      </c>
      <c r="B3" s="75" t="s">
        <v>10</v>
      </c>
      <c r="C3" s="5"/>
      <c r="D3" s="5"/>
      <c r="E3" s="13"/>
      <c r="F3" s="5"/>
      <c r="G3" s="5"/>
    </row>
    <row r="4" spans="1:23" ht="30" customHeight="1" x14ac:dyDescent="0.35">
      <c r="A4" s="75" t="s">
        <v>10</v>
      </c>
      <c r="B4" s="75" t="s">
        <v>10</v>
      </c>
      <c r="C4" s="5"/>
      <c r="D4" s="8"/>
      <c r="E4" s="14"/>
      <c r="F4" s="7"/>
      <c r="G4" s="5"/>
    </row>
    <row r="5" spans="1:23" ht="30" customHeight="1" x14ac:dyDescent="0.35">
      <c r="A5" s="75" t="s">
        <v>10</v>
      </c>
      <c r="B5" s="75" t="s">
        <v>10</v>
      </c>
      <c r="C5" s="5"/>
      <c r="D5" s="5"/>
      <c r="E5" s="5"/>
      <c r="F5" s="5"/>
      <c r="G5" s="5"/>
    </row>
    <row r="6" spans="1:23" ht="30" customHeight="1" x14ac:dyDescent="0.35">
      <c r="A6" s="75" t="s">
        <v>10</v>
      </c>
      <c r="B6" s="75" t="s">
        <v>10</v>
      </c>
      <c r="C6" s="5"/>
      <c r="D6" s="5"/>
      <c r="E6" s="5"/>
      <c r="F6" s="5"/>
      <c r="G6" s="5"/>
    </row>
    <row r="7" spans="1:23" ht="30" customHeight="1" x14ac:dyDescent="0.35">
      <c r="A7" s="75" t="s">
        <v>10</v>
      </c>
      <c r="B7" s="75" t="s">
        <v>10</v>
      </c>
      <c r="C7" s="5"/>
      <c r="D7" s="5"/>
      <c r="E7" s="5"/>
      <c r="F7" s="5"/>
      <c r="G7" s="5"/>
    </row>
    <row r="8" spans="1:23" ht="30" customHeight="1" x14ac:dyDescent="0.35">
      <c r="A8" s="75" t="s">
        <v>10</v>
      </c>
      <c r="B8" s="75" t="s">
        <v>10</v>
      </c>
      <c r="C8" s="5"/>
      <c r="D8" s="5"/>
      <c r="E8" s="5"/>
      <c r="F8" s="5"/>
      <c r="G8" s="5"/>
    </row>
    <row r="9" spans="1:23" ht="30" customHeight="1" x14ac:dyDescent="0.35">
      <c r="A9" s="75" t="s">
        <v>10</v>
      </c>
      <c r="B9" s="75" t="s">
        <v>10</v>
      </c>
      <c r="C9" s="5"/>
      <c r="D9" s="5"/>
      <c r="E9" s="5"/>
      <c r="F9" s="5"/>
      <c r="G9" s="5"/>
    </row>
    <row r="10" spans="1:23" ht="30" customHeight="1" x14ac:dyDescent="0.35">
      <c r="A10" s="75" t="s">
        <v>10</v>
      </c>
      <c r="B10" s="75" t="s">
        <v>10</v>
      </c>
      <c r="C10" s="5"/>
      <c r="D10" s="5"/>
      <c r="E10" s="5"/>
      <c r="F10" s="5"/>
      <c r="G10" s="5"/>
    </row>
    <row r="11" spans="1:23" ht="30" customHeight="1" x14ac:dyDescent="0.35">
      <c r="A11" s="75" t="s">
        <v>10</v>
      </c>
      <c r="B11" s="75" t="s">
        <v>10</v>
      </c>
      <c r="C11" s="5"/>
      <c r="D11" s="5"/>
      <c r="E11" s="5"/>
      <c r="F11" s="5"/>
      <c r="G11" s="5"/>
    </row>
    <row r="12" spans="1:23" ht="30" customHeight="1" x14ac:dyDescent="0.35">
      <c r="A12" s="75" t="s">
        <v>10</v>
      </c>
      <c r="B12" s="75" t="s">
        <v>10</v>
      </c>
      <c r="C12" s="5"/>
      <c r="D12" s="5"/>
      <c r="E12" s="5"/>
      <c r="F12" s="5"/>
      <c r="G12" s="5"/>
    </row>
    <row r="13" spans="1:23" ht="30" customHeight="1" x14ac:dyDescent="0.35">
      <c r="A13" s="75" t="s">
        <v>10</v>
      </c>
      <c r="B13" s="75" t="s">
        <v>10</v>
      </c>
      <c r="C13" s="5"/>
      <c r="D13" s="5"/>
      <c r="E13" s="5"/>
      <c r="F13" s="5"/>
      <c r="G13" s="5"/>
    </row>
    <row r="14" spans="1:23" ht="30" customHeight="1" x14ac:dyDescent="0.35">
      <c r="A14" s="75" t="s">
        <v>10</v>
      </c>
      <c r="B14" s="75" t="s">
        <v>10</v>
      </c>
      <c r="C14" s="5"/>
      <c r="D14" s="5"/>
      <c r="E14" s="5"/>
      <c r="F14" s="5"/>
      <c r="G14" s="5"/>
    </row>
    <row r="15" spans="1:23" ht="30" customHeight="1" x14ac:dyDescent="0.35">
      <c r="A15" s="75" t="s">
        <v>10</v>
      </c>
      <c r="B15" s="75" t="s">
        <v>10</v>
      </c>
      <c r="C15" s="5"/>
      <c r="D15" s="5"/>
      <c r="E15" s="5"/>
      <c r="F15" s="5"/>
      <c r="G15" s="5"/>
    </row>
    <row r="16" spans="1:23" ht="30" customHeight="1" x14ac:dyDescent="0.35">
      <c r="A16" s="75" t="s">
        <v>10</v>
      </c>
      <c r="B16" s="75" t="s">
        <v>10</v>
      </c>
      <c r="C16" s="5"/>
      <c r="D16" s="5"/>
      <c r="E16" s="5"/>
      <c r="F16" s="5"/>
      <c r="G16" s="5"/>
    </row>
    <row r="17" spans="1:7" ht="30" customHeight="1" x14ac:dyDescent="0.35">
      <c r="A17" s="75" t="s">
        <v>10</v>
      </c>
      <c r="B17" s="75" t="s">
        <v>10</v>
      </c>
      <c r="C17" s="5"/>
      <c r="D17" s="5"/>
      <c r="E17" s="5"/>
      <c r="F17" s="5"/>
      <c r="G17" s="5"/>
    </row>
    <row r="18" spans="1:7" ht="30" customHeight="1" x14ac:dyDescent="0.35">
      <c r="A18" s="75" t="s">
        <v>10</v>
      </c>
      <c r="B18" s="75" t="s">
        <v>10</v>
      </c>
      <c r="C18" s="5"/>
      <c r="D18" s="5"/>
      <c r="E18" s="5"/>
      <c r="F18" s="5"/>
      <c r="G18" s="5"/>
    </row>
    <row r="19" spans="1:7" ht="30" customHeight="1" x14ac:dyDescent="0.35">
      <c r="A19" s="75" t="s">
        <v>10</v>
      </c>
      <c r="B19" s="75" t="s">
        <v>10</v>
      </c>
      <c r="C19" s="5"/>
      <c r="D19" s="5"/>
      <c r="E19" s="5"/>
      <c r="F19" s="5"/>
      <c r="G19" s="5"/>
    </row>
    <row r="20" spans="1:7" ht="30" customHeight="1" x14ac:dyDescent="0.35">
      <c r="A20" s="75" t="s">
        <v>10</v>
      </c>
      <c r="B20" s="75" t="s">
        <v>10</v>
      </c>
      <c r="C20" s="5"/>
      <c r="D20" s="5"/>
      <c r="E20" s="5"/>
      <c r="F20" s="5"/>
      <c r="G20" s="5"/>
    </row>
    <row r="21" spans="1:7" ht="30" customHeight="1" x14ac:dyDescent="0.35">
      <c r="A21" s="75" t="s">
        <v>10</v>
      </c>
      <c r="B21" s="75" t="s">
        <v>10</v>
      </c>
      <c r="C21" s="5"/>
      <c r="D21" s="5"/>
      <c r="E21" s="5"/>
      <c r="F21" s="5"/>
      <c r="G21" s="5"/>
    </row>
    <row r="22" spans="1:7" ht="30" customHeight="1" x14ac:dyDescent="0.35">
      <c r="A22" s="75" t="s">
        <v>10</v>
      </c>
      <c r="B22" s="75" t="s">
        <v>10</v>
      </c>
      <c r="C22" s="5"/>
      <c r="D22" s="5"/>
      <c r="E22" s="5"/>
      <c r="F22" s="5"/>
      <c r="G22" s="5"/>
    </row>
    <row r="23" spans="1:7" ht="30" customHeight="1" x14ac:dyDescent="0.35">
      <c r="A23" s="75" t="s">
        <v>10</v>
      </c>
      <c r="B23" s="75" t="s">
        <v>10</v>
      </c>
      <c r="C23" s="5"/>
      <c r="D23" s="5"/>
      <c r="E23" s="5"/>
      <c r="F23" s="5"/>
      <c r="G23" s="5"/>
    </row>
    <row r="24" spans="1:7" ht="30" customHeight="1" x14ac:dyDescent="0.35">
      <c r="A24" s="75" t="s">
        <v>10</v>
      </c>
      <c r="B24" s="75" t="s">
        <v>10</v>
      </c>
      <c r="C24" s="5"/>
      <c r="D24" s="5"/>
      <c r="E24" s="5"/>
      <c r="F24" s="5"/>
      <c r="G24" s="5"/>
    </row>
    <row r="25" spans="1:7" ht="30" customHeight="1" x14ac:dyDescent="0.35">
      <c r="A25" s="75" t="s">
        <v>10</v>
      </c>
      <c r="B25" s="75" t="s">
        <v>10</v>
      </c>
      <c r="C25" s="5"/>
      <c r="D25" s="5"/>
      <c r="E25" s="5"/>
      <c r="F25" s="5"/>
      <c r="G25" s="5"/>
    </row>
    <row r="26" spans="1:7" ht="30" customHeight="1" x14ac:dyDescent="0.35">
      <c r="A26" s="75" t="s">
        <v>10</v>
      </c>
      <c r="B26" s="75" t="s">
        <v>10</v>
      </c>
      <c r="C26" s="5"/>
      <c r="D26" s="5"/>
      <c r="E26" s="5"/>
      <c r="F26" s="5"/>
      <c r="G26" s="5"/>
    </row>
    <row r="27" spans="1:7" ht="30" customHeight="1" x14ac:dyDescent="0.35">
      <c r="A27" s="75" t="s">
        <v>10</v>
      </c>
      <c r="B27" s="75" t="s">
        <v>10</v>
      </c>
      <c r="C27" s="5"/>
      <c r="D27" s="5"/>
      <c r="E27" s="5"/>
      <c r="F27" s="5"/>
      <c r="G27" s="5"/>
    </row>
    <row r="28" spans="1:7" ht="30" customHeight="1" x14ac:dyDescent="0.35">
      <c r="A28" s="75" t="s">
        <v>10</v>
      </c>
      <c r="B28" s="75" t="s">
        <v>10</v>
      </c>
      <c r="C28" s="5"/>
      <c r="D28" s="5"/>
      <c r="E28" s="5"/>
      <c r="F28" s="5"/>
      <c r="G28" s="5"/>
    </row>
    <row r="29" spans="1:7" ht="30" customHeight="1" x14ac:dyDescent="0.35">
      <c r="A29" s="75" t="s">
        <v>10</v>
      </c>
      <c r="B29" s="75" t="s">
        <v>10</v>
      </c>
      <c r="C29" s="5"/>
      <c r="D29" s="5"/>
      <c r="E29" s="5"/>
      <c r="F29" s="5"/>
      <c r="G29" s="5"/>
    </row>
    <row r="30" spans="1:7" ht="30" customHeight="1" x14ac:dyDescent="0.35">
      <c r="A30" s="75" t="s">
        <v>10</v>
      </c>
      <c r="B30" s="75" t="s">
        <v>10</v>
      </c>
      <c r="C30" s="5"/>
      <c r="D30" s="5"/>
      <c r="E30" s="5"/>
      <c r="F30" s="5"/>
      <c r="G30" s="5"/>
    </row>
    <row r="31" spans="1:7" ht="30" customHeight="1" x14ac:dyDescent="0.35">
      <c r="A31" s="75" t="s">
        <v>10</v>
      </c>
      <c r="B31" s="75" t="s">
        <v>10</v>
      </c>
      <c r="C31" s="5"/>
      <c r="D31" s="5"/>
      <c r="E31" s="5"/>
      <c r="F31" s="5"/>
      <c r="G31" s="5"/>
    </row>
    <row r="32" spans="1:7" ht="30" customHeight="1" x14ac:dyDescent="0.35">
      <c r="A32" s="75" t="s">
        <v>10</v>
      </c>
      <c r="B32" s="75" t="s">
        <v>10</v>
      </c>
      <c r="C32" s="5"/>
      <c r="D32" s="5"/>
      <c r="E32" s="5"/>
      <c r="F32" s="5"/>
      <c r="G32" s="5"/>
    </row>
    <row r="33" spans="1:7" ht="30" customHeight="1" x14ac:dyDescent="0.35">
      <c r="A33" s="75" t="s">
        <v>10</v>
      </c>
      <c r="B33" s="75" t="s">
        <v>10</v>
      </c>
      <c r="C33" s="5"/>
      <c r="D33" s="5"/>
      <c r="E33" s="5"/>
      <c r="F33" s="5"/>
      <c r="G33" s="5"/>
    </row>
    <row r="34" spans="1:7" ht="30" customHeight="1" x14ac:dyDescent="0.35">
      <c r="A34" s="75" t="s">
        <v>10</v>
      </c>
      <c r="B34" s="75" t="s">
        <v>10</v>
      </c>
      <c r="C34" s="5"/>
      <c r="D34" s="5"/>
      <c r="E34" s="5"/>
      <c r="F34" s="5"/>
      <c r="G34" s="5"/>
    </row>
    <row r="35" spans="1:7" ht="30" customHeight="1" x14ac:dyDescent="0.35">
      <c r="A35" s="75" t="s">
        <v>10</v>
      </c>
      <c r="B35" s="75" t="s">
        <v>10</v>
      </c>
      <c r="C35" s="5"/>
      <c r="D35" s="5"/>
      <c r="E35" s="5"/>
      <c r="F35" s="5"/>
      <c r="G35" s="5"/>
    </row>
  </sheetData>
  <pageMargins left="0.5" right="0.25" top="0.5" bottom="0.5" header="0.3" footer="0.3"/>
  <pageSetup orientation="landscape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5"/>
  <sheetViews>
    <sheetView tabSelected="1" view="pageBreakPreview" zoomScale="115" zoomScaleNormal="100" zoomScaleSheetLayoutView="115" workbookViewId="0">
      <selection activeCell="C3" sqref="C3"/>
    </sheetView>
  </sheetViews>
  <sheetFormatPr defaultRowHeight="15" x14ac:dyDescent="0.25"/>
  <cols>
    <col min="1" max="2" width="18.7109375" style="15" customWidth="1"/>
    <col min="3" max="3" width="14.7109375" style="15" customWidth="1"/>
    <col min="4" max="4" width="8" style="15" customWidth="1"/>
    <col min="5" max="5" width="14.7109375" style="15" hidden="1" customWidth="1"/>
    <col min="6" max="7" width="14.7109375" style="15" customWidth="1"/>
    <col min="8" max="8" width="15.85546875" style="15" customWidth="1"/>
    <col min="9" max="16384" width="9.140625" style="22"/>
  </cols>
  <sheetData>
    <row r="1" spans="1:23" ht="24" customHeight="1" x14ac:dyDescent="0.3">
      <c r="A1" s="24" t="s">
        <v>901</v>
      </c>
      <c r="D1" s="31"/>
      <c r="H1" s="64" t="s">
        <v>8</v>
      </c>
    </row>
    <row r="2" spans="1:23" ht="24.75" customHeight="1" x14ac:dyDescent="0.3">
      <c r="A2" s="20" t="s">
        <v>5</v>
      </c>
      <c r="B2" s="20" t="s">
        <v>6</v>
      </c>
      <c r="C2" s="44" t="s">
        <v>2</v>
      </c>
      <c r="D2" s="32" t="s">
        <v>328</v>
      </c>
      <c r="E2" s="8" t="s">
        <v>1061</v>
      </c>
      <c r="F2" s="14" t="s">
        <v>1058</v>
      </c>
      <c r="G2" s="7" t="s">
        <v>1059</v>
      </c>
      <c r="H2" s="35" t="s">
        <v>1060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20.25" customHeight="1" x14ac:dyDescent="0.3">
      <c r="A3" s="42" t="s">
        <v>882</v>
      </c>
      <c r="B3" s="42" t="s">
        <v>883</v>
      </c>
      <c r="C3" s="63">
        <f>2.5</f>
        <v>2.5</v>
      </c>
      <c r="D3" s="47">
        <v>1</v>
      </c>
      <c r="E3" s="8"/>
      <c r="F3" s="14"/>
      <c r="G3" s="7"/>
      <c r="H3" s="3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20.25" customHeight="1" x14ac:dyDescent="0.3">
      <c r="A4" s="42" t="s">
        <v>604</v>
      </c>
      <c r="B4" s="42" t="s">
        <v>776</v>
      </c>
      <c r="C4" s="63">
        <f>4+4+4+4+4</f>
        <v>20</v>
      </c>
      <c r="D4" s="41">
        <v>5</v>
      </c>
      <c r="E4" s="8"/>
      <c r="F4" s="14"/>
      <c r="G4" s="7"/>
      <c r="H4" s="3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20.25" customHeight="1" x14ac:dyDescent="0.3">
      <c r="A5" s="42" t="s">
        <v>402</v>
      </c>
      <c r="B5" s="42" t="s">
        <v>403</v>
      </c>
      <c r="C5" s="63">
        <f>5</f>
        <v>5</v>
      </c>
      <c r="D5" s="41">
        <f>1</f>
        <v>1</v>
      </c>
      <c r="E5" s="8"/>
      <c r="F5" s="14"/>
      <c r="G5" s="7"/>
      <c r="H5" s="3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20.25" customHeight="1" x14ac:dyDescent="0.3">
      <c r="A6" s="42" t="s">
        <v>882</v>
      </c>
      <c r="B6" s="42" t="s">
        <v>1005</v>
      </c>
      <c r="C6" s="63">
        <f>4</f>
        <v>4</v>
      </c>
      <c r="D6" s="47">
        <v>1</v>
      </c>
      <c r="E6" s="37"/>
      <c r="F6" s="38"/>
      <c r="G6" s="39"/>
      <c r="H6" s="4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20.25" customHeight="1" x14ac:dyDescent="0.3">
      <c r="A7" s="42" t="s">
        <v>142</v>
      </c>
      <c r="B7" s="42" t="s">
        <v>78</v>
      </c>
      <c r="C7" s="63">
        <f>10+10</f>
        <v>20</v>
      </c>
      <c r="D7" s="41">
        <v>2</v>
      </c>
      <c r="E7" s="8"/>
      <c r="F7" s="14"/>
      <c r="G7" s="7"/>
      <c r="H7" s="3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20.25" customHeight="1" x14ac:dyDescent="0.3">
      <c r="A8" s="42" t="s">
        <v>928</v>
      </c>
      <c r="B8" s="42" t="s">
        <v>78</v>
      </c>
      <c r="C8" s="63">
        <f>2.25</f>
        <v>2.25</v>
      </c>
      <c r="D8" s="47">
        <v>1</v>
      </c>
      <c r="E8" s="8"/>
      <c r="F8" s="14"/>
      <c r="G8" s="7"/>
      <c r="H8" s="3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20.25" customHeight="1" x14ac:dyDescent="0.3">
      <c r="A9" s="43" t="s">
        <v>513</v>
      </c>
      <c r="B9" s="43" t="s">
        <v>78</v>
      </c>
      <c r="C9" s="63">
        <f>2.25+5</f>
        <v>7.25</v>
      </c>
      <c r="D9" s="41">
        <f>1+2</f>
        <v>3</v>
      </c>
      <c r="E9" s="37"/>
      <c r="F9" s="38"/>
      <c r="G9" s="39"/>
      <c r="H9" s="4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20.25" customHeight="1" x14ac:dyDescent="0.3">
      <c r="A10" s="42" t="s">
        <v>951</v>
      </c>
      <c r="B10" s="42" t="s">
        <v>78</v>
      </c>
      <c r="C10" s="63">
        <f>4</f>
        <v>4</v>
      </c>
      <c r="D10" s="47">
        <v>1</v>
      </c>
      <c r="E10" s="37"/>
      <c r="F10" s="38"/>
      <c r="G10" s="39"/>
      <c r="H10" s="4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20.25" customHeight="1" x14ac:dyDescent="0.3">
      <c r="A11" s="43" t="s">
        <v>541</v>
      </c>
      <c r="B11" s="43" t="s">
        <v>78</v>
      </c>
      <c r="C11" s="63">
        <f>2+4+2.25</f>
        <v>8.25</v>
      </c>
      <c r="D11" s="41">
        <v>3</v>
      </c>
      <c r="E11" s="37"/>
      <c r="F11" s="38"/>
      <c r="G11" s="39"/>
      <c r="H11" s="4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20.25" customHeight="1" x14ac:dyDescent="0.3">
      <c r="A12" s="42" t="s">
        <v>729</v>
      </c>
      <c r="B12" s="42" t="s">
        <v>78</v>
      </c>
      <c r="C12" s="63">
        <f>12</f>
        <v>12</v>
      </c>
      <c r="D12" s="41">
        <v>1</v>
      </c>
      <c r="E12" s="37"/>
      <c r="F12" s="38"/>
      <c r="G12" s="39"/>
      <c r="H12" s="4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0.25" customHeight="1" x14ac:dyDescent="0.3">
      <c r="A13" s="42" t="s">
        <v>204</v>
      </c>
      <c r="B13" s="42" t="s">
        <v>205</v>
      </c>
      <c r="C13" s="63">
        <f>3+3+3</f>
        <v>9</v>
      </c>
      <c r="D13" s="41">
        <f>1+1+1</f>
        <v>3</v>
      </c>
      <c r="E13" s="37"/>
      <c r="F13" s="38"/>
      <c r="G13" s="39"/>
      <c r="H13" s="4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0.25" customHeight="1" x14ac:dyDescent="0.3">
      <c r="A14" s="42" t="s">
        <v>114</v>
      </c>
      <c r="B14" s="42" t="s">
        <v>681</v>
      </c>
      <c r="C14" s="63">
        <f>2.5</f>
        <v>2.5</v>
      </c>
      <c r="D14" s="41">
        <v>1</v>
      </c>
      <c r="E14" s="37"/>
      <c r="F14" s="38"/>
      <c r="G14" s="39"/>
      <c r="H14" s="40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20.25" customHeight="1" x14ac:dyDescent="0.3">
      <c r="A15" s="42" t="s">
        <v>447</v>
      </c>
      <c r="B15" s="42" t="s">
        <v>448</v>
      </c>
      <c r="C15" s="63">
        <f>6.5+5.2+7.2+6</f>
        <v>24.9</v>
      </c>
      <c r="D15" s="41">
        <v>4</v>
      </c>
      <c r="E15" s="37"/>
      <c r="F15" s="38"/>
      <c r="G15" s="39"/>
      <c r="H15" s="4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20.25" customHeight="1" x14ac:dyDescent="0.3">
      <c r="A16" s="42" t="s">
        <v>28</v>
      </c>
      <c r="B16" s="42" t="s">
        <v>305</v>
      </c>
      <c r="C16" s="63">
        <f>4+4+3+4+4</f>
        <v>19</v>
      </c>
      <c r="D16" s="41">
        <f>1+1+1+1+1</f>
        <v>5</v>
      </c>
      <c r="E16" s="37"/>
      <c r="F16" s="38"/>
      <c r="G16" s="39"/>
      <c r="H16" s="40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20.25" customHeight="1" x14ac:dyDescent="0.3">
      <c r="A17" s="42" t="s">
        <v>173</v>
      </c>
      <c r="B17" s="42" t="s">
        <v>1039</v>
      </c>
      <c r="C17" s="63">
        <f>4+10+4</f>
        <v>18</v>
      </c>
      <c r="D17" s="47">
        <v>3</v>
      </c>
      <c r="E17" s="37"/>
      <c r="F17" s="38"/>
      <c r="G17" s="39"/>
      <c r="H17" s="40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20.25" customHeight="1" x14ac:dyDescent="0.3">
      <c r="A18" s="42" t="s">
        <v>39</v>
      </c>
      <c r="B18" s="42" t="s">
        <v>974</v>
      </c>
      <c r="C18" s="63">
        <f>4</f>
        <v>4</v>
      </c>
      <c r="D18" s="47">
        <v>1</v>
      </c>
      <c r="E18" s="37"/>
      <c r="F18" s="38"/>
      <c r="G18" s="39"/>
      <c r="H18" s="4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20.25" customHeight="1" x14ac:dyDescent="0.3">
      <c r="A19" s="42" t="s">
        <v>194</v>
      </c>
      <c r="B19" s="42" t="s">
        <v>218</v>
      </c>
      <c r="C19" s="63">
        <f>5+4.86+4+4</f>
        <v>17.86</v>
      </c>
      <c r="D19" s="41">
        <v>4</v>
      </c>
      <c r="E19" s="37"/>
      <c r="F19" s="38"/>
      <c r="G19" s="39"/>
      <c r="H19" s="4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0.25" customHeight="1" x14ac:dyDescent="0.3">
      <c r="A20" s="42" t="s">
        <v>564</v>
      </c>
      <c r="B20" s="42" t="s">
        <v>576</v>
      </c>
      <c r="C20" s="63">
        <f>5</f>
        <v>5</v>
      </c>
      <c r="D20" s="41">
        <f>1</f>
        <v>1</v>
      </c>
      <c r="E20" s="37"/>
      <c r="F20" s="38"/>
      <c r="G20" s="39"/>
      <c r="H20" s="4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20.25" customHeight="1" x14ac:dyDescent="0.3">
      <c r="A21" s="42" t="s">
        <v>1044</v>
      </c>
      <c r="B21" s="42" t="s">
        <v>1045</v>
      </c>
      <c r="C21" s="63">
        <f>4</f>
        <v>4</v>
      </c>
      <c r="D21" s="47">
        <v>1</v>
      </c>
      <c r="E21" s="37"/>
      <c r="F21" s="38"/>
      <c r="G21" s="39"/>
      <c r="H21" s="4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20.25" customHeight="1" x14ac:dyDescent="0.3">
      <c r="A22" s="42" t="s">
        <v>173</v>
      </c>
      <c r="B22" s="42" t="s">
        <v>306</v>
      </c>
      <c r="C22" s="63">
        <f>7</f>
        <v>7</v>
      </c>
      <c r="D22" s="41">
        <f>1</f>
        <v>1</v>
      </c>
      <c r="E22" s="37"/>
      <c r="F22" s="38"/>
      <c r="G22" s="39"/>
      <c r="H22" s="4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20.25" customHeight="1" x14ac:dyDescent="0.3">
      <c r="A23" s="42" t="s">
        <v>324</v>
      </c>
      <c r="B23" s="42" t="s">
        <v>423</v>
      </c>
      <c r="C23" s="63">
        <f>4+5</f>
        <v>9</v>
      </c>
      <c r="D23" s="41">
        <f>1+1</f>
        <v>2</v>
      </c>
      <c r="E23" s="37"/>
      <c r="F23" s="38"/>
      <c r="G23" s="39"/>
      <c r="H23" s="4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20.25" customHeight="1" x14ac:dyDescent="0.3">
      <c r="A24" s="42" t="s">
        <v>972</v>
      </c>
      <c r="B24" s="42" t="s">
        <v>1017</v>
      </c>
      <c r="C24" s="63">
        <f>4+4+4+4</f>
        <v>16</v>
      </c>
      <c r="D24" s="47">
        <v>4</v>
      </c>
      <c r="E24" s="37"/>
      <c r="F24" s="38"/>
      <c r="G24" s="39"/>
      <c r="H24" s="4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20.25" customHeight="1" x14ac:dyDescent="0.3">
      <c r="A25" s="42" t="s">
        <v>24</v>
      </c>
      <c r="B25" s="42" t="s">
        <v>136</v>
      </c>
      <c r="C25" s="63">
        <f>4</f>
        <v>4</v>
      </c>
      <c r="D25" s="41">
        <f>1</f>
        <v>1</v>
      </c>
      <c r="E25" s="37"/>
      <c r="F25" s="38"/>
      <c r="G25" s="39"/>
      <c r="H25" s="40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20.25" customHeight="1" x14ac:dyDescent="0.3">
      <c r="A26" s="42" t="s">
        <v>93</v>
      </c>
      <c r="B26" s="42" t="s">
        <v>710</v>
      </c>
      <c r="C26" s="63">
        <f>4+4+4</f>
        <v>12</v>
      </c>
      <c r="D26" s="41">
        <v>3</v>
      </c>
      <c r="E26" s="37"/>
      <c r="F26" s="38"/>
      <c r="G26" s="39"/>
      <c r="H26" s="40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20.25" customHeight="1" x14ac:dyDescent="0.3">
      <c r="A27" s="42" t="s">
        <v>960</v>
      </c>
      <c r="B27" s="42" t="s">
        <v>961</v>
      </c>
      <c r="C27" s="63">
        <f>4+5</f>
        <v>9</v>
      </c>
      <c r="D27" s="47">
        <v>1</v>
      </c>
      <c r="E27" s="37"/>
      <c r="F27" s="38"/>
      <c r="G27" s="39"/>
      <c r="H27" s="4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20.25" customHeight="1" x14ac:dyDescent="0.3">
      <c r="A28" s="42" t="s">
        <v>371</v>
      </c>
      <c r="B28" s="42" t="s">
        <v>372</v>
      </c>
      <c r="C28" s="63">
        <f>5</f>
        <v>5</v>
      </c>
      <c r="D28" s="41">
        <f>1</f>
        <v>1</v>
      </c>
      <c r="E28" s="37"/>
      <c r="F28" s="38"/>
      <c r="G28" s="39"/>
      <c r="H28" s="4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20.25" customHeight="1" x14ac:dyDescent="0.3">
      <c r="A29" s="42" t="s">
        <v>954</v>
      </c>
      <c r="B29" s="42" t="s">
        <v>955</v>
      </c>
      <c r="C29" s="63">
        <f>4+4+3</f>
        <v>11</v>
      </c>
      <c r="D29" s="47">
        <v>3</v>
      </c>
      <c r="E29" s="37"/>
      <c r="F29" s="38"/>
      <c r="G29" s="39"/>
      <c r="H29" s="4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20.25" customHeight="1" x14ac:dyDescent="0.3">
      <c r="A30" s="42" t="s">
        <v>70</v>
      </c>
      <c r="B30" s="42" t="s">
        <v>775</v>
      </c>
      <c r="C30" s="63">
        <f>4</f>
        <v>4</v>
      </c>
      <c r="D30" s="41">
        <v>1</v>
      </c>
      <c r="E30" s="37"/>
      <c r="F30" s="38"/>
      <c r="G30" s="39"/>
      <c r="H30" s="40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20.25" customHeight="1" x14ac:dyDescent="0.3">
      <c r="A31" s="42" t="s">
        <v>1069</v>
      </c>
      <c r="B31" s="42" t="s">
        <v>1070</v>
      </c>
      <c r="C31" s="63">
        <f>5.25</f>
        <v>5.25</v>
      </c>
      <c r="D31" s="47">
        <v>1</v>
      </c>
      <c r="E31" s="37"/>
      <c r="F31" s="38"/>
      <c r="G31" s="39"/>
      <c r="H31" s="40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20.25" customHeight="1" x14ac:dyDescent="0.3">
      <c r="A32" s="42" t="s">
        <v>923</v>
      </c>
      <c r="B32" s="42" t="s">
        <v>14</v>
      </c>
      <c r="C32" s="63">
        <f>8.3+7+4+4</f>
        <v>23.3</v>
      </c>
      <c r="D32" s="47">
        <v>4</v>
      </c>
      <c r="E32" s="37"/>
      <c r="F32" s="38"/>
      <c r="G32" s="39"/>
      <c r="H32" s="40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20.25" customHeight="1" x14ac:dyDescent="0.3">
      <c r="A33" s="42" t="s">
        <v>26</v>
      </c>
      <c r="B33" s="42" t="s">
        <v>237</v>
      </c>
      <c r="C33" s="63">
        <f>5.8+5.5+5</f>
        <v>16.3</v>
      </c>
      <c r="D33" s="47">
        <v>3</v>
      </c>
      <c r="E33" s="37"/>
      <c r="F33" s="38"/>
      <c r="G33" s="39"/>
      <c r="H33" s="4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20.25" customHeight="1" x14ac:dyDescent="0.3">
      <c r="A34" s="42" t="s">
        <v>51</v>
      </c>
      <c r="B34" s="42" t="s">
        <v>965</v>
      </c>
      <c r="C34" s="63">
        <f>5+6+6</f>
        <v>17</v>
      </c>
      <c r="D34" s="47">
        <v>3</v>
      </c>
      <c r="E34" s="37"/>
      <c r="F34" s="38"/>
      <c r="G34" s="39"/>
      <c r="H34" s="40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20.25" customHeight="1" x14ac:dyDescent="0.3">
      <c r="A35" s="42" t="s">
        <v>607</v>
      </c>
      <c r="B35" s="42" t="s">
        <v>608</v>
      </c>
      <c r="C35" s="63">
        <f>7</f>
        <v>7</v>
      </c>
      <c r="D35" s="41">
        <f>1</f>
        <v>1</v>
      </c>
      <c r="E35" s="37"/>
      <c r="F35" s="38"/>
      <c r="G35" s="39"/>
      <c r="H35" s="4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20.25" customHeight="1" x14ac:dyDescent="0.3">
      <c r="A36" s="43" t="s">
        <v>287</v>
      </c>
      <c r="B36" s="43" t="s">
        <v>477</v>
      </c>
      <c r="C36" s="63">
        <f>4.5</f>
        <v>4.5</v>
      </c>
      <c r="D36" s="41">
        <f>1</f>
        <v>1</v>
      </c>
      <c r="E36" s="37"/>
      <c r="F36" s="38"/>
      <c r="G36" s="39"/>
      <c r="H36" s="40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20.25" customHeight="1" x14ac:dyDescent="0.3">
      <c r="A37" s="42" t="s">
        <v>159</v>
      </c>
      <c r="B37" s="42" t="s">
        <v>359</v>
      </c>
      <c r="C37" s="63">
        <f>3.96</f>
        <v>3.96</v>
      </c>
      <c r="D37" s="41">
        <f>1</f>
        <v>1</v>
      </c>
      <c r="E37" s="37"/>
      <c r="F37" s="38"/>
      <c r="G37" s="39"/>
      <c r="H37" s="40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20.25" customHeight="1" x14ac:dyDescent="0.3">
      <c r="A38" s="43" t="s">
        <v>545</v>
      </c>
      <c r="B38" s="43" t="s">
        <v>549</v>
      </c>
      <c r="C38" s="63">
        <f>5.5</f>
        <v>5.5</v>
      </c>
      <c r="D38" s="41">
        <f>1</f>
        <v>1</v>
      </c>
      <c r="E38" s="37"/>
      <c r="F38" s="38"/>
      <c r="G38" s="39"/>
      <c r="H38" s="4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20.25" customHeight="1" x14ac:dyDescent="0.3">
      <c r="A39" s="42" t="s">
        <v>414</v>
      </c>
      <c r="B39" s="42" t="s">
        <v>1022</v>
      </c>
      <c r="C39" s="63">
        <f>3</f>
        <v>3</v>
      </c>
      <c r="D39" s="47">
        <v>1</v>
      </c>
      <c r="E39" s="37"/>
      <c r="F39" s="38"/>
      <c r="G39" s="39"/>
      <c r="H39" s="4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20.25" customHeight="1" x14ac:dyDescent="0.3">
      <c r="A40" s="42" t="s">
        <v>30</v>
      </c>
      <c r="B40" s="42" t="s">
        <v>1022</v>
      </c>
      <c r="C40" s="63">
        <f>4</f>
        <v>4</v>
      </c>
      <c r="D40" s="47">
        <v>1</v>
      </c>
      <c r="E40" s="37"/>
      <c r="F40" s="38"/>
      <c r="G40" s="39"/>
      <c r="H40" s="40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20.25" customHeight="1" x14ac:dyDescent="0.3">
      <c r="A41" s="42" t="s">
        <v>484</v>
      </c>
      <c r="B41" s="42" t="s">
        <v>785</v>
      </c>
      <c r="C41" s="63">
        <f>4</f>
        <v>4</v>
      </c>
      <c r="D41" s="41">
        <v>1</v>
      </c>
      <c r="E41" s="37"/>
      <c r="F41" s="38"/>
      <c r="G41" s="39"/>
      <c r="H41" s="40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20.25" customHeight="1" x14ac:dyDescent="0.3">
      <c r="A42" s="42" t="s">
        <v>400</v>
      </c>
      <c r="B42" s="42" t="s">
        <v>401</v>
      </c>
      <c r="C42" s="63">
        <f>5</f>
        <v>5</v>
      </c>
      <c r="D42" s="41">
        <f>1</f>
        <v>1</v>
      </c>
      <c r="E42" s="37"/>
      <c r="F42" s="38"/>
      <c r="G42" s="39"/>
      <c r="H42" s="4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20.25" customHeight="1" x14ac:dyDescent="0.3">
      <c r="A43" s="42" t="s">
        <v>668</v>
      </c>
      <c r="B43" s="42" t="s">
        <v>669</v>
      </c>
      <c r="C43" s="63">
        <f>2+3.2+3+3+3.3+3.2</f>
        <v>17.7</v>
      </c>
      <c r="D43" s="41">
        <v>6</v>
      </c>
      <c r="E43" s="37"/>
      <c r="F43" s="38"/>
      <c r="G43" s="39"/>
      <c r="H43" s="40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20.25" customHeight="1" x14ac:dyDescent="0.3">
      <c r="A44" s="42" t="s">
        <v>387</v>
      </c>
      <c r="B44" s="42" t="s">
        <v>388</v>
      </c>
      <c r="C44" s="63">
        <f>7+4+5</f>
        <v>16</v>
      </c>
      <c r="D44" s="41">
        <v>3</v>
      </c>
      <c r="E44" s="37"/>
      <c r="F44" s="38"/>
      <c r="G44" s="39"/>
      <c r="H44" s="40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20.25" customHeight="1" x14ac:dyDescent="0.3">
      <c r="A45" s="42" t="s">
        <v>826</v>
      </c>
      <c r="B45" s="42" t="s">
        <v>388</v>
      </c>
      <c r="C45" s="63">
        <f>5+5+2+2.5+2.5+3.5</f>
        <v>20.5</v>
      </c>
      <c r="D45" s="47">
        <v>6</v>
      </c>
      <c r="E45" s="37"/>
      <c r="F45" s="38"/>
      <c r="G45" s="39"/>
      <c r="H45" s="40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20.25" customHeight="1" x14ac:dyDescent="0.3">
      <c r="A46" s="42" t="s">
        <v>465</v>
      </c>
      <c r="B46" s="42" t="s">
        <v>466</v>
      </c>
      <c r="C46" s="63">
        <f>13.1</f>
        <v>13.1</v>
      </c>
      <c r="D46" s="47">
        <f>1</f>
        <v>1</v>
      </c>
      <c r="E46" s="37"/>
      <c r="F46" s="38"/>
      <c r="G46" s="39"/>
      <c r="H46" s="40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20.25" customHeight="1" x14ac:dyDescent="0.3">
      <c r="A47" s="42" t="s">
        <v>76</v>
      </c>
      <c r="B47" s="42" t="s">
        <v>1043</v>
      </c>
      <c r="C47" s="63">
        <f>4</f>
        <v>4</v>
      </c>
      <c r="D47" s="47">
        <v>1</v>
      </c>
      <c r="E47" s="37"/>
      <c r="F47" s="38"/>
      <c r="G47" s="39"/>
      <c r="H47" s="40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20.25" customHeight="1" x14ac:dyDescent="0.3">
      <c r="A48" s="42" t="s">
        <v>602</v>
      </c>
      <c r="B48" s="42" t="s">
        <v>603</v>
      </c>
      <c r="C48" s="63">
        <f>4+4+4</f>
        <v>12</v>
      </c>
      <c r="D48" s="47">
        <v>3</v>
      </c>
      <c r="E48" s="37"/>
      <c r="F48" s="38"/>
      <c r="G48" s="39"/>
      <c r="H48" s="40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20.25" customHeight="1" x14ac:dyDescent="0.3">
      <c r="A49" s="42" t="s">
        <v>431</v>
      </c>
      <c r="B49" s="42" t="s">
        <v>1046</v>
      </c>
      <c r="C49" s="63">
        <f>4</f>
        <v>4</v>
      </c>
      <c r="D49" s="47">
        <v>1</v>
      </c>
      <c r="E49" s="37"/>
      <c r="F49" s="38"/>
      <c r="G49" s="39"/>
      <c r="H49" s="40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20.25" customHeight="1" x14ac:dyDescent="0.3">
      <c r="A50" s="42" t="s">
        <v>179</v>
      </c>
      <c r="B50" s="42" t="s">
        <v>613</v>
      </c>
      <c r="C50" s="63">
        <f>10</f>
        <v>10</v>
      </c>
      <c r="D50" s="47">
        <f>1</f>
        <v>1</v>
      </c>
      <c r="E50" s="37"/>
      <c r="F50" s="38"/>
      <c r="G50" s="39"/>
      <c r="H50" s="40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20.25" customHeight="1" x14ac:dyDescent="0.3">
      <c r="A51" s="42" t="s">
        <v>1018</v>
      </c>
      <c r="B51" s="42" t="s">
        <v>101</v>
      </c>
      <c r="C51" s="63">
        <f>4+4</f>
        <v>8</v>
      </c>
      <c r="D51" s="47">
        <v>2</v>
      </c>
      <c r="E51" s="37"/>
      <c r="F51" s="38"/>
      <c r="G51" s="39"/>
      <c r="H51" s="40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20.25" customHeight="1" x14ac:dyDescent="0.3">
      <c r="A52" s="42" t="s">
        <v>1035</v>
      </c>
      <c r="B52" s="42" t="s">
        <v>101</v>
      </c>
      <c r="C52" s="63">
        <f>2</f>
        <v>2</v>
      </c>
      <c r="D52" s="47">
        <v>1</v>
      </c>
      <c r="E52" s="37"/>
      <c r="F52" s="38"/>
      <c r="G52" s="39"/>
      <c r="H52" s="40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20.25" customHeight="1" x14ac:dyDescent="0.3">
      <c r="A53" s="42" t="s">
        <v>210</v>
      </c>
      <c r="B53" s="42" t="s">
        <v>614</v>
      </c>
      <c r="C53" s="63">
        <f>10</f>
        <v>10</v>
      </c>
      <c r="D53" s="47">
        <f>1</f>
        <v>1</v>
      </c>
      <c r="E53" s="37"/>
      <c r="F53" s="38"/>
      <c r="G53" s="39"/>
      <c r="H53" s="40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20.25" customHeight="1" x14ac:dyDescent="0.3">
      <c r="A54" s="42" t="s">
        <v>175</v>
      </c>
      <c r="B54" s="42" t="s">
        <v>894</v>
      </c>
      <c r="C54" s="63">
        <f>15+9.7</f>
        <v>24.7</v>
      </c>
      <c r="D54" s="47">
        <v>2</v>
      </c>
      <c r="E54" s="37"/>
      <c r="F54" s="38"/>
      <c r="G54" s="39"/>
      <c r="H54" s="4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20.25" customHeight="1" x14ac:dyDescent="0.3">
      <c r="A55" s="42" t="s">
        <v>24</v>
      </c>
      <c r="B55" s="42" t="s">
        <v>997</v>
      </c>
      <c r="C55" s="63">
        <f>2</f>
        <v>2</v>
      </c>
      <c r="D55" s="47">
        <v>1</v>
      </c>
      <c r="E55" s="37"/>
      <c r="F55" s="38"/>
      <c r="G55" s="39"/>
      <c r="H55" s="4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20.25" customHeight="1" x14ac:dyDescent="0.3">
      <c r="A56" s="42" t="s">
        <v>206</v>
      </c>
      <c r="B56" s="42" t="s">
        <v>1025</v>
      </c>
      <c r="C56" s="63">
        <f>4</f>
        <v>4</v>
      </c>
      <c r="D56" s="47">
        <v>1</v>
      </c>
      <c r="E56" s="37"/>
      <c r="F56" s="38"/>
      <c r="G56" s="39"/>
      <c r="H56" s="40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20.25" customHeight="1" x14ac:dyDescent="0.3">
      <c r="A57" s="42" t="s">
        <v>1011</v>
      </c>
      <c r="B57" s="42" t="s">
        <v>1012</v>
      </c>
      <c r="C57" s="63">
        <f>10</f>
        <v>10</v>
      </c>
      <c r="D57" s="47">
        <v>1</v>
      </c>
      <c r="E57" s="37"/>
      <c r="F57" s="38"/>
      <c r="G57" s="39"/>
      <c r="H57" s="40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20.25" customHeight="1" x14ac:dyDescent="0.3">
      <c r="A58" s="42" t="s">
        <v>360</v>
      </c>
      <c r="B58" s="42" t="s">
        <v>361</v>
      </c>
      <c r="C58" s="63">
        <f>2.5</f>
        <v>2.5</v>
      </c>
      <c r="D58" s="47">
        <f>1</f>
        <v>1</v>
      </c>
      <c r="E58" s="37"/>
      <c r="F58" s="38"/>
      <c r="G58" s="39"/>
      <c r="H58" s="40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20.25" customHeight="1" x14ac:dyDescent="0.3">
      <c r="A59" s="42" t="s">
        <v>100</v>
      </c>
      <c r="B59" s="42" t="s">
        <v>979</v>
      </c>
      <c r="C59" s="63">
        <f>3.3</f>
        <v>3.3</v>
      </c>
      <c r="D59" s="47">
        <v>1</v>
      </c>
      <c r="E59" s="37"/>
      <c r="F59" s="38"/>
      <c r="G59" s="39"/>
      <c r="H59" s="40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20.25" customHeight="1" x14ac:dyDescent="0.3">
      <c r="A60" s="42" t="s">
        <v>210</v>
      </c>
      <c r="B60" s="42" t="s">
        <v>877</v>
      </c>
      <c r="C60" s="63">
        <f>2.25+6.2</f>
        <v>8.4499999999999993</v>
      </c>
      <c r="D60" s="47">
        <v>2</v>
      </c>
      <c r="E60" s="37"/>
      <c r="F60" s="38"/>
      <c r="G60" s="39"/>
      <c r="H60" s="40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20.25" customHeight="1" x14ac:dyDescent="0.3">
      <c r="A61" s="42" t="s">
        <v>268</v>
      </c>
      <c r="B61" s="42" t="s">
        <v>315</v>
      </c>
      <c r="C61" s="63">
        <f>2.5</f>
        <v>2.5</v>
      </c>
      <c r="D61" s="47">
        <f>1</f>
        <v>1</v>
      </c>
      <c r="E61" s="37"/>
      <c r="F61" s="38"/>
      <c r="G61" s="39"/>
      <c r="H61" s="40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20.25" customHeight="1" x14ac:dyDescent="0.3">
      <c r="A62" s="42" t="s">
        <v>26</v>
      </c>
      <c r="B62" s="42" t="s">
        <v>929</v>
      </c>
      <c r="C62" s="63">
        <f>2.25</f>
        <v>2.25</v>
      </c>
      <c r="D62" s="47">
        <v>1</v>
      </c>
      <c r="E62" s="37"/>
      <c r="F62" s="38"/>
      <c r="G62" s="39"/>
      <c r="H62" s="40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20.25" customHeight="1" x14ac:dyDescent="0.3">
      <c r="A63" s="42" t="s">
        <v>242</v>
      </c>
      <c r="B63" s="42" t="s">
        <v>394</v>
      </c>
      <c r="C63" s="63">
        <f>5</f>
        <v>5</v>
      </c>
      <c r="D63" s="47">
        <f>1</f>
        <v>1</v>
      </c>
      <c r="E63" s="37"/>
      <c r="F63" s="38"/>
      <c r="G63" s="39"/>
      <c r="H63" s="40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20.25" customHeight="1" x14ac:dyDescent="0.3">
      <c r="A64" s="42" t="s">
        <v>200</v>
      </c>
      <c r="B64" s="42" t="s">
        <v>364</v>
      </c>
      <c r="C64" s="63">
        <f>2.5+4+4</f>
        <v>10.5</v>
      </c>
      <c r="D64" s="47">
        <v>3</v>
      </c>
      <c r="E64" s="37"/>
      <c r="F64" s="38"/>
      <c r="G64" s="39"/>
      <c r="H64" s="40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20.25" customHeight="1" x14ac:dyDescent="0.3">
      <c r="A65" s="42" t="s">
        <v>217</v>
      </c>
      <c r="B65" s="42" t="s">
        <v>621</v>
      </c>
      <c r="C65" s="63">
        <f>4+4.2+6.5</f>
        <v>14.7</v>
      </c>
      <c r="D65" s="47">
        <v>3</v>
      </c>
      <c r="E65" s="37"/>
      <c r="F65" s="38"/>
      <c r="G65" s="39"/>
      <c r="H65" s="40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20.25" customHeight="1" x14ac:dyDescent="0.3">
      <c r="A66" s="42" t="s">
        <v>1023</v>
      </c>
      <c r="B66" s="42" t="s">
        <v>1024</v>
      </c>
      <c r="C66" s="63">
        <f>4</f>
        <v>4</v>
      </c>
      <c r="D66" s="47">
        <v>1</v>
      </c>
      <c r="E66" s="37"/>
      <c r="F66" s="38"/>
      <c r="G66" s="39"/>
      <c r="H66" s="40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20.25" customHeight="1" x14ac:dyDescent="0.3">
      <c r="A67" s="42" t="s">
        <v>1031</v>
      </c>
      <c r="B67" s="42" t="s">
        <v>1032</v>
      </c>
      <c r="C67" s="63">
        <f>5.7</f>
        <v>5.7</v>
      </c>
      <c r="D67" s="47">
        <v>1</v>
      </c>
      <c r="E67" s="37"/>
      <c r="F67" s="38"/>
      <c r="G67" s="39"/>
      <c r="H67" s="40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20.25" customHeight="1" x14ac:dyDescent="0.3">
      <c r="A68" s="42" t="s">
        <v>74</v>
      </c>
      <c r="B68" s="42" t="s">
        <v>907</v>
      </c>
      <c r="C68" s="63">
        <f>4+4</f>
        <v>8</v>
      </c>
      <c r="D68" s="47">
        <v>2</v>
      </c>
      <c r="E68" s="37"/>
      <c r="F68" s="38"/>
      <c r="G68" s="39"/>
      <c r="H68" s="40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20.25" customHeight="1" x14ac:dyDescent="0.3">
      <c r="A69" s="42" t="s">
        <v>230</v>
      </c>
      <c r="B69" s="42" t="s">
        <v>369</v>
      </c>
      <c r="C69" s="63">
        <f>2.5</f>
        <v>2.5</v>
      </c>
      <c r="D69" s="47">
        <f>1</f>
        <v>1</v>
      </c>
      <c r="E69" s="37"/>
      <c r="F69" s="38"/>
      <c r="G69" s="39"/>
      <c r="H69" s="40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20.25" customHeight="1" x14ac:dyDescent="0.3">
      <c r="A70" s="42" t="s">
        <v>268</v>
      </c>
      <c r="B70" s="42" t="s">
        <v>348</v>
      </c>
      <c r="C70" s="63">
        <f>9.5</f>
        <v>9.5</v>
      </c>
      <c r="D70" s="47">
        <f>1</f>
        <v>1</v>
      </c>
      <c r="E70" s="37"/>
      <c r="F70" s="38"/>
      <c r="G70" s="39"/>
      <c r="H70" s="40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20.25" customHeight="1" x14ac:dyDescent="0.3">
      <c r="A71" s="42" t="s">
        <v>182</v>
      </c>
      <c r="B71" s="42" t="s">
        <v>982</v>
      </c>
      <c r="C71" s="63">
        <f>7</f>
        <v>7</v>
      </c>
      <c r="D71" s="47">
        <v>1</v>
      </c>
      <c r="E71" s="37"/>
      <c r="F71" s="38"/>
      <c r="G71" s="39"/>
      <c r="H71" s="40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20.25" customHeight="1" x14ac:dyDescent="0.3">
      <c r="A72" s="42" t="s">
        <v>934</v>
      </c>
      <c r="B72" s="42" t="s">
        <v>1068</v>
      </c>
      <c r="C72" s="63">
        <f>3.25</f>
        <v>3.25</v>
      </c>
      <c r="D72" s="47">
        <v>1</v>
      </c>
      <c r="E72" s="37"/>
      <c r="F72" s="38"/>
      <c r="G72" s="39"/>
      <c r="H72" s="40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20.25" customHeight="1" x14ac:dyDescent="0.3">
      <c r="A73" s="42" t="s">
        <v>243</v>
      </c>
      <c r="B73" s="42" t="s">
        <v>990</v>
      </c>
      <c r="C73" s="63">
        <f>2.5</f>
        <v>2.5</v>
      </c>
      <c r="D73" s="47">
        <v>1</v>
      </c>
      <c r="E73" s="37"/>
      <c r="F73" s="38"/>
      <c r="G73" s="39"/>
      <c r="H73" s="40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20.25" customHeight="1" x14ac:dyDescent="0.3">
      <c r="A74" s="42" t="s">
        <v>236</v>
      </c>
      <c r="B74" s="42" t="s">
        <v>386</v>
      </c>
      <c r="C74" s="63">
        <f>5</f>
        <v>5</v>
      </c>
      <c r="D74" s="47">
        <f>1</f>
        <v>1</v>
      </c>
      <c r="E74" s="37"/>
      <c r="F74" s="38"/>
      <c r="G74" s="39"/>
      <c r="H74" s="40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20.25" customHeight="1" x14ac:dyDescent="0.3">
      <c r="A75" s="42" t="s">
        <v>171</v>
      </c>
      <c r="B75" s="42" t="s">
        <v>391</v>
      </c>
      <c r="C75" s="63">
        <f>3+3.5+2</f>
        <v>8.5</v>
      </c>
      <c r="D75" s="47">
        <v>3</v>
      </c>
      <c r="E75" s="37"/>
      <c r="F75" s="38"/>
      <c r="G75" s="39"/>
      <c r="H75" s="40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20.25" customHeight="1" x14ac:dyDescent="0.3">
      <c r="A76" s="42" t="s">
        <v>1003</v>
      </c>
      <c r="B76" s="42" t="s">
        <v>1004</v>
      </c>
      <c r="C76" s="63">
        <f>4+5</f>
        <v>9</v>
      </c>
      <c r="D76" s="47">
        <v>2</v>
      </c>
      <c r="E76" s="37"/>
      <c r="F76" s="38"/>
      <c r="G76" s="39"/>
      <c r="H76" s="40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20.25" customHeight="1" x14ac:dyDescent="0.3">
      <c r="A77" s="42" t="s">
        <v>983</v>
      </c>
      <c r="B77" s="42" t="s">
        <v>984</v>
      </c>
      <c r="C77" s="63">
        <f>2</f>
        <v>2</v>
      </c>
      <c r="D77" s="47">
        <v>1</v>
      </c>
      <c r="E77" s="37"/>
      <c r="F77" s="38"/>
      <c r="G77" s="39"/>
      <c r="H77" s="40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20.25" customHeight="1" x14ac:dyDescent="0.3">
      <c r="A78" s="42" t="s">
        <v>1002</v>
      </c>
      <c r="B78" s="42" t="s">
        <v>1057</v>
      </c>
      <c r="C78" s="63">
        <f>3.5+3.7+4.8</f>
        <v>12</v>
      </c>
      <c r="D78" s="47">
        <v>3</v>
      </c>
      <c r="E78" s="37"/>
      <c r="F78" s="38"/>
      <c r="G78" s="39"/>
      <c r="H78" s="40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20.25" customHeight="1" x14ac:dyDescent="0.3">
      <c r="A79" s="42" t="s">
        <v>516</v>
      </c>
      <c r="B79" s="42" t="s">
        <v>517</v>
      </c>
      <c r="C79" s="63">
        <f>2.25+2+2</f>
        <v>6.25</v>
      </c>
      <c r="D79" s="47">
        <f>1+1+2</f>
        <v>4</v>
      </c>
      <c r="E79" s="37"/>
      <c r="F79" s="38"/>
      <c r="G79" s="39"/>
      <c r="H79" s="40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s="20" customFormat="1" ht="20.25" customHeight="1" x14ac:dyDescent="0.3">
      <c r="A80" s="42" t="s">
        <v>343</v>
      </c>
      <c r="B80" s="42" t="s">
        <v>772</v>
      </c>
      <c r="C80" s="63">
        <f>5+12</f>
        <v>17</v>
      </c>
      <c r="D80" s="47">
        <v>2</v>
      </c>
      <c r="E80" s="15"/>
      <c r="F80" s="15"/>
      <c r="G80" s="15"/>
      <c r="H80" s="15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5"/>
    </row>
    <row r="81" spans="1:23" ht="20.25" customHeight="1" x14ac:dyDescent="0.25">
      <c r="A81" s="42" t="s">
        <v>331</v>
      </c>
      <c r="B81" s="42" t="s">
        <v>332</v>
      </c>
      <c r="C81" s="65">
        <f>3.4</f>
        <v>3.4</v>
      </c>
      <c r="D81" s="47">
        <f>1</f>
        <v>1</v>
      </c>
    </row>
    <row r="82" spans="1:23" ht="20.25" customHeight="1" x14ac:dyDescent="0.25">
      <c r="A82" s="42" t="s">
        <v>845</v>
      </c>
      <c r="B82" s="42" t="s">
        <v>263</v>
      </c>
      <c r="C82" s="63">
        <f>4</f>
        <v>4</v>
      </c>
      <c r="D82" s="47">
        <v>1</v>
      </c>
    </row>
    <row r="83" spans="1:23" ht="20.25" customHeight="1" x14ac:dyDescent="0.25">
      <c r="A83" s="42" t="s">
        <v>1011</v>
      </c>
      <c r="B83" s="42" t="s">
        <v>1038</v>
      </c>
      <c r="C83" s="63">
        <f>4+4</f>
        <v>8</v>
      </c>
      <c r="D83" s="47">
        <v>2</v>
      </c>
    </row>
    <row r="84" spans="1:23" ht="20.25" customHeight="1" x14ac:dyDescent="0.25">
      <c r="A84" s="42" t="s">
        <v>39</v>
      </c>
      <c r="B84" s="42" t="s">
        <v>672</v>
      </c>
      <c r="C84" s="63">
        <f>4+4+4+5+5</f>
        <v>22</v>
      </c>
      <c r="D84" s="47">
        <v>5</v>
      </c>
    </row>
    <row r="85" spans="1:23" ht="20.25" customHeight="1" x14ac:dyDescent="0.3">
      <c r="A85" s="42" t="s">
        <v>948</v>
      </c>
      <c r="B85" s="42" t="s">
        <v>949</v>
      </c>
      <c r="C85" s="63">
        <f>5</f>
        <v>5</v>
      </c>
      <c r="D85" s="47">
        <v>1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1"/>
      <c r="W85" s="21"/>
    </row>
    <row r="86" spans="1:23" ht="20.25" customHeight="1" x14ac:dyDescent="0.25">
      <c r="A86" s="42" t="s">
        <v>198</v>
      </c>
      <c r="B86" s="42" t="s">
        <v>989</v>
      </c>
      <c r="C86" s="63">
        <f>2.5</f>
        <v>2.5</v>
      </c>
      <c r="D86" s="47">
        <v>1</v>
      </c>
    </row>
    <row r="87" spans="1:23" ht="20.25" customHeight="1" x14ac:dyDescent="0.25">
      <c r="A87" s="42" t="s">
        <v>1009</v>
      </c>
      <c r="B87" s="42" t="s">
        <v>1010</v>
      </c>
      <c r="C87" s="63">
        <f>8</f>
        <v>8</v>
      </c>
      <c r="D87" s="47">
        <v>1</v>
      </c>
    </row>
    <row r="88" spans="1:23" ht="20.25" customHeight="1" x14ac:dyDescent="0.25">
      <c r="A88" s="42" t="s">
        <v>248</v>
      </c>
      <c r="B88" s="42" t="s">
        <v>675</v>
      </c>
      <c r="C88" s="63">
        <f>3.9+4+4</f>
        <v>11.9</v>
      </c>
      <c r="D88" s="47">
        <v>3</v>
      </c>
    </row>
    <row r="89" spans="1:23" ht="20.25" customHeight="1" x14ac:dyDescent="0.25">
      <c r="A89" s="42" t="s">
        <v>508</v>
      </c>
      <c r="B89" s="42" t="s">
        <v>509</v>
      </c>
      <c r="C89" s="63">
        <f>5+5</f>
        <v>10</v>
      </c>
      <c r="D89" s="47">
        <v>2</v>
      </c>
    </row>
    <row r="90" spans="1:23" ht="20.25" customHeight="1" x14ac:dyDescent="0.25">
      <c r="A90" s="42" t="s">
        <v>384</v>
      </c>
      <c r="B90" s="42" t="s">
        <v>385</v>
      </c>
      <c r="C90" s="63">
        <f>4</f>
        <v>4</v>
      </c>
      <c r="D90" s="47">
        <f>1</f>
        <v>1</v>
      </c>
    </row>
    <row r="91" spans="1:23" ht="20.25" customHeight="1" x14ac:dyDescent="0.25">
      <c r="A91" s="42" t="s">
        <v>628</v>
      </c>
      <c r="B91" s="42" t="s">
        <v>629</v>
      </c>
      <c r="C91" s="63">
        <f>4+5+4</f>
        <v>13</v>
      </c>
      <c r="D91" s="47">
        <v>3</v>
      </c>
    </row>
    <row r="92" spans="1:23" ht="20.25" customHeight="1" x14ac:dyDescent="0.25">
      <c r="A92" s="42" t="s">
        <v>1007</v>
      </c>
      <c r="B92" s="42" t="s">
        <v>1008</v>
      </c>
      <c r="C92" s="63">
        <f>7.5</f>
        <v>7.5</v>
      </c>
      <c r="D92" s="47">
        <v>1</v>
      </c>
    </row>
    <row r="93" spans="1:23" ht="20.25" customHeight="1" x14ac:dyDescent="0.25">
      <c r="A93" s="42" t="s">
        <v>414</v>
      </c>
      <c r="B93" s="42" t="s">
        <v>415</v>
      </c>
      <c r="C93" s="63">
        <f>2.5+6</f>
        <v>8.5</v>
      </c>
      <c r="D93" s="47">
        <v>2</v>
      </c>
    </row>
    <row r="94" spans="1:23" ht="20.25" customHeight="1" x14ac:dyDescent="0.25">
      <c r="A94" s="42" t="s">
        <v>735</v>
      </c>
      <c r="B94" s="42" t="s">
        <v>755</v>
      </c>
      <c r="C94" s="63">
        <f>20</f>
        <v>20</v>
      </c>
      <c r="D94" s="47">
        <v>1</v>
      </c>
    </row>
    <row r="95" spans="1:23" ht="20.25" customHeight="1" x14ac:dyDescent="0.25">
      <c r="A95" s="42" t="s">
        <v>1013</v>
      </c>
      <c r="B95" s="42" t="s">
        <v>1014</v>
      </c>
      <c r="C95" s="63">
        <f>4+4</f>
        <v>8</v>
      </c>
      <c r="D95" s="47">
        <v>2</v>
      </c>
    </row>
    <row r="96" spans="1:23" ht="20.25" customHeight="1" x14ac:dyDescent="0.25">
      <c r="A96" s="42" t="s">
        <v>1013</v>
      </c>
      <c r="B96" s="42" t="s">
        <v>1014</v>
      </c>
      <c r="C96" s="63">
        <f>12+5+5</f>
        <v>22</v>
      </c>
      <c r="D96" s="47">
        <v>3</v>
      </c>
    </row>
    <row r="97" spans="1:4" ht="20.25" customHeight="1" x14ac:dyDescent="0.25">
      <c r="A97" s="42" t="s">
        <v>547</v>
      </c>
      <c r="B97" s="42" t="s">
        <v>551</v>
      </c>
      <c r="C97" s="63">
        <f>6</f>
        <v>6</v>
      </c>
      <c r="D97" s="47">
        <f>1</f>
        <v>1</v>
      </c>
    </row>
    <row r="98" spans="1:4" ht="20.25" customHeight="1" x14ac:dyDescent="0.25">
      <c r="A98" s="42" t="s">
        <v>299</v>
      </c>
      <c r="B98" s="42" t="s">
        <v>346</v>
      </c>
      <c r="C98" s="63">
        <f>7</f>
        <v>7</v>
      </c>
      <c r="D98" s="47">
        <f>1</f>
        <v>1</v>
      </c>
    </row>
    <row r="99" spans="1:4" ht="20.25" customHeight="1" x14ac:dyDescent="0.25">
      <c r="A99" s="42" t="s">
        <v>992</v>
      </c>
      <c r="B99" s="42" t="s">
        <v>993</v>
      </c>
      <c r="C99" s="63">
        <f>12</f>
        <v>12</v>
      </c>
      <c r="D99" s="47">
        <v>1</v>
      </c>
    </row>
    <row r="100" spans="1:4" ht="20.25" customHeight="1" x14ac:dyDescent="0.25">
      <c r="A100" s="42" t="s">
        <v>126</v>
      </c>
      <c r="B100" s="42" t="s">
        <v>373</v>
      </c>
      <c r="C100" s="63">
        <f>2.2+2.25</f>
        <v>4.45</v>
      </c>
      <c r="D100" s="47">
        <v>2</v>
      </c>
    </row>
    <row r="101" spans="1:4" ht="20.25" customHeight="1" x14ac:dyDescent="0.25">
      <c r="A101" s="42" t="s">
        <v>630</v>
      </c>
      <c r="B101" s="42" t="s">
        <v>631</v>
      </c>
      <c r="C101" s="63">
        <f>4+2.25</f>
        <v>6.25</v>
      </c>
      <c r="D101" s="47">
        <v>2</v>
      </c>
    </row>
    <row r="102" spans="1:4" ht="20.25" customHeight="1" x14ac:dyDescent="0.25">
      <c r="A102" s="42" t="s">
        <v>943</v>
      </c>
      <c r="B102" s="42" t="s">
        <v>944</v>
      </c>
      <c r="C102" s="63">
        <f>4+3.5+3.5</f>
        <v>11</v>
      </c>
      <c r="D102" s="47">
        <v>3</v>
      </c>
    </row>
    <row r="103" spans="1:4" ht="20.25" customHeight="1" x14ac:dyDescent="0.25">
      <c r="A103" s="42" t="s">
        <v>243</v>
      </c>
      <c r="B103" s="42" t="s">
        <v>944</v>
      </c>
      <c r="C103" s="63">
        <f>3.5</f>
        <v>3.5</v>
      </c>
      <c r="D103" s="47">
        <v>1</v>
      </c>
    </row>
    <row r="104" spans="1:4" ht="20.25" customHeight="1" x14ac:dyDescent="0.25">
      <c r="A104" s="42" t="s">
        <v>711</v>
      </c>
      <c r="B104" s="42" t="s">
        <v>712</v>
      </c>
      <c r="C104" s="63">
        <f>5</f>
        <v>5</v>
      </c>
      <c r="D104" s="47">
        <v>1</v>
      </c>
    </row>
    <row r="105" spans="1:4" ht="20.25" customHeight="1" x14ac:dyDescent="0.25">
      <c r="A105" s="42" t="s">
        <v>500</v>
      </c>
      <c r="B105" s="42" t="s">
        <v>555</v>
      </c>
      <c r="C105" s="63">
        <f>7+5+7</f>
        <v>19</v>
      </c>
      <c r="D105" s="47">
        <f>1+1+1</f>
        <v>3</v>
      </c>
    </row>
    <row r="106" spans="1:4" ht="20.25" customHeight="1" x14ac:dyDescent="0.25">
      <c r="A106" s="42" t="s">
        <v>916</v>
      </c>
      <c r="B106" s="42" t="s">
        <v>888</v>
      </c>
      <c r="C106" s="63">
        <f>4+2.2</f>
        <v>6.2</v>
      </c>
      <c r="D106" s="47">
        <v>2</v>
      </c>
    </row>
    <row r="107" spans="1:4" ht="20.25" customHeight="1" x14ac:dyDescent="0.25">
      <c r="A107" s="42" t="s">
        <v>539</v>
      </c>
      <c r="B107" s="42" t="s">
        <v>540</v>
      </c>
      <c r="C107" s="63">
        <f>5</f>
        <v>5</v>
      </c>
      <c r="D107" s="47">
        <f>1</f>
        <v>1</v>
      </c>
    </row>
    <row r="108" spans="1:4" ht="20.25" customHeight="1" x14ac:dyDescent="0.25">
      <c r="A108" s="42" t="s">
        <v>295</v>
      </c>
      <c r="B108" s="42" t="s">
        <v>296</v>
      </c>
      <c r="C108" s="63">
        <f>6+2+6</f>
        <v>14</v>
      </c>
      <c r="D108" s="47">
        <v>3</v>
      </c>
    </row>
    <row r="109" spans="1:4" ht="20.25" customHeight="1" x14ac:dyDescent="0.25">
      <c r="A109" s="42" t="s">
        <v>179</v>
      </c>
      <c r="B109" s="42" t="s">
        <v>615</v>
      </c>
      <c r="C109" s="63">
        <f>16</f>
        <v>16</v>
      </c>
      <c r="D109" s="47">
        <f>1</f>
        <v>1</v>
      </c>
    </row>
    <row r="110" spans="1:4" ht="20.25" customHeight="1" x14ac:dyDescent="0.25">
      <c r="A110" s="42" t="s">
        <v>402</v>
      </c>
      <c r="B110" s="42" t="s">
        <v>794</v>
      </c>
      <c r="C110" s="63">
        <f>5</f>
        <v>5</v>
      </c>
      <c r="D110" s="47">
        <v>1</v>
      </c>
    </row>
    <row r="111" spans="1:4" ht="20.25" customHeight="1" x14ac:dyDescent="0.25">
      <c r="A111" s="42" t="s">
        <v>107</v>
      </c>
      <c r="B111" s="42" t="s">
        <v>763</v>
      </c>
      <c r="C111" s="63">
        <f>4</f>
        <v>4</v>
      </c>
      <c r="D111" s="47">
        <v>1</v>
      </c>
    </row>
    <row r="112" spans="1:4" ht="20.25" customHeight="1" x14ac:dyDescent="0.25">
      <c r="A112" s="42" t="s">
        <v>634</v>
      </c>
      <c r="B112" s="42" t="s">
        <v>635</v>
      </c>
      <c r="C112" s="63">
        <f>4</f>
        <v>4</v>
      </c>
      <c r="D112" s="47">
        <f>1</f>
        <v>1</v>
      </c>
    </row>
    <row r="113" spans="1:4" ht="20.25" customHeight="1" x14ac:dyDescent="0.25">
      <c r="A113" s="42" t="s">
        <v>909</v>
      </c>
      <c r="B113" s="42" t="s">
        <v>910</v>
      </c>
      <c r="C113" s="63">
        <f>6</f>
        <v>6</v>
      </c>
      <c r="D113" s="47">
        <v>1</v>
      </c>
    </row>
    <row r="114" spans="1:4" ht="20.25" customHeight="1" x14ac:dyDescent="0.25">
      <c r="A114" s="42" t="s">
        <v>696</v>
      </c>
      <c r="B114" s="42" t="s">
        <v>697</v>
      </c>
      <c r="C114" s="63">
        <f>5</f>
        <v>5</v>
      </c>
      <c r="D114" s="47">
        <v>1</v>
      </c>
    </row>
    <row r="115" spans="1:4" ht="20.25" customHeight="1" x14ac:dyDescent="0.25">
      <c r="A115" s="42" t="s">
        <v>173</v>
      </c>
      <c r="B115" s="42" t="s">
        <v>499</v>
      </c>
      <c r="C115" s="63">
        <f>4.41</f>
        <v>4.41</v>
      </c>
      <c r="D115" s="47">
        <f>1</f>
        <v>1</v>
      </c>
    </row>
    <row r="116" spans="1:4" ht="20.25" customHeight="1" x14ac:dyDescent="0.25">
      <c r="A116" s="42" t="s">
        <v>565</v>
      </c>
      <c r="B116" s="42" t="s">
        <v>573</v>
      </c>
      <c r="C116" s="63">
        <f>5</f>
        <v>5</v>
      </c>
      <c r="D116" s="47">
        <f>1</f>
        <v>1</v>
      </c>
    </row>
    <row r="117" spans="1:4" ht="20.25" customHeight="1" x14ac:dyDescent="0.25">
      <c r="A117" s="42" t="s">
        <v>594</v>
      </c>
      <c r="B117" s="42" t="s">
        <v>665</v>
      </c>
      <c r="C117" s="63">
        <f>5+5</f>
        <v>10</v>
      </c>
      <c r="D117" s="47">
        <f>1+1</f>
        <v>2</v>
      </c>
    </row>
    <row r="118" spans="1:4" ht="20.25" customHeight="1" x14ac:dyDescent="0.25">
      <c r="A118" s="42" t="s">
        <v>622</v>
      </c>
      <c r="B118" s="42" t="s">
        <v>623</v>
      </c>
      <c r="C118" s="63">
        <f>4+4</f>
        <v>8</v>
      </c>
      <c r="D118" s="47">
        <v>2</v>
      </c>
    </row>
    <row r="119" spans="1:4" ht="20.25" customHeight="1" x14ac:dyDescent="0.25">
      <c r="A119" s="42" t="s">
        <v>597</v>
      </c>
      <c r="B119" s="42" t="s">
        <v>905</v>
      </c>
      <c r="C119" s="63">
        <f>2.5</f>
        <v>2.5</v>
      </c>
      <c r="D119" s="47">
        <v>1</v>
      </c>
    </row>
    <row r="120" spans="1:4" ht="20.25" customHeight="1" x14ac:dyDescent="0.25">
      <c r="A120" s="42" t="s">
        <v>102</v>
      </c>
      <c r="B120" s="42" t="s">
        <v>1051</v>
      </c>
      <c r="C120" s="63">
        <f>4</f>
        <v>4</v>
      </c>
      <c r="D120" s="47">
        <v>1</v>
      </c>
    </row>
    <row r="121" spans="1:4" ht="20.25" customHeight="1" x14ac:dyDescent="0.25">
      <c r="A121" s="42" t="s">
        <v>765</v>
      </c>
      <c r="B121" s="42" t="s">
        <v>766</v>
      </c>
      <c r="C121" s="63">
        <f>4</f>
        <v>4</v>
      </c>
      <c r="D121" s="47">
        <v>1</v>
      </c>
    </row>
    <row r="122" spans="1:4" ht="20.25" customHeight="1" x14ac:dyDescent="0.25">
      <c r="A122" s="42" t="s">
        <v>287</v>
      </c>
      <c r="B122" s="42" t="s">
        <v>768</v>
      </c>
      <c r="C122" s="63">
        <f>3.5+3.5+5</f>
        <v>12</v>
      </c>
      <c r="D122" s="47">
        <v>3</v>
      </c>
    </row>
    <row r="123" spans="1:4" ht="20.25" customHeight="1" x14ac:dyDescent="0.25">
      <c r="A123" s="42" t="s">
        <v>880</v>
      </c>
      <c r="B123" s="42" t="s">
        <v>881</v>
      </c>
      <c r="C123" s="63">
        <f>2.5</f>
        <v>2.5</v>
      </c>
      <c r="D123" s="47">
        <v>1</v>
      </c>
    </row>
    <row r="124" spans="1:4" ht="20.25" customHeight="1" x14ac:dyDescent="0.25">
      <c r="A124" s="42" t="s">
        <v>723</v>
      </c>
      <c r="B124" s="42" t="s">
        <v>266</v>
      </c>
      <c r="C124" s="63">
        <f>4+2+4+4</f>
        <v>14</v>
      </c>
      <c r="D124" s="47">
        <v>4</v>
      </c>
    </row>
    <row r="125" spans="1:4" ht="20.25" customHeight="1" x14ac:dyDescent="0.25">
      <c r="A125" s="42" t="s">
        <v>267</v>
      </c>
      <c r="B125" s="42" t="s">
        <v>319</v>
      </c>
      <c r="C125" s="63">
        <f>2.5</f>
        <v>2.5</v>
      </c>
      <c r="D125" s="47">
        <f>1</f>
        <v>1</v>
      </c>
    </row>
    <row r="126" spans="1:4" ht="20.25" customHeight="1" x14ac:dyDescent="0.25">
      <c r="A126" s="42" t="s">
        <v>999</v>
      </c>
      <c r="B126" s="42" t="s">
        <v>1000</v>
      </c>
      <c r="C126" s="63">
        <f>5+8+5.25</f>
        <v>18.25</v>
      </c>
      <c r="D126" s="47">
        <v>3</v>
      </c>
    </row>
    <row r="127" spans="1:4" ht="20.25" customHeight="1" x14ac:dyDescent="0.25">
      <c r="A127" s="42" t="s">
        <v>806</v>
      </c>
      <c r="B127" s="42" t="s">
        <v>694</v>
      </c>
      <c r="C127" s="63">
        <f>7+6+6</f>
        <v>19</v>
      </c>
      <c r="D127" s="47">
        <v>3</v>
      </c>
    </row>
    <row r="128" spans="1:4" ht="20.25" customHeight="1" x14ac:dyDescent="0.25">
      <c r="A128" s="42" t="s">
        <v>693</v>
      </c>
      <c r="B128" s="42" t="s">
        <v>694</v>
      </c>
      <c r="C128" s="63">
        <f>5+5+5</f>
        <v>15</v>
      </c>
      <c r="D128" s="47">
        <v>3</v>
      </c>
    </row>
    <row r="129" spans="1:4" ht="20.25" customHeight="1" x14ac:dyDescent="0.25">
      <c r="A129" s="42" t="s">
        <v>343</v>
      </c>
      <c r="B129" s="42" t="s">
        <v>344</v>
      </c>
      <c r="C129" s="63">
        <f>5+5+4.8+6</f>
        <v>20.8</v>
      </c>
      <c r="D129" s="47">
        <v>4</v>
      </c>
    </row>
    <row r="130" spans="1:4" ht="20.25" customHeight="1" x14ac:dyDescent="0.25">
      <c r="A130" s="42" t="s">
        <v>523</v>
      </c>
      <c r="B130" s="42" t="s">
        <v>524</v>
      </c>
      <c r="C130" s="63">
        <f>4+6.5+4+3</f>
        <v>17.5</v>
      </c>
      <c r="D130" s="47">
        <v>4</v>
      </c>
    </row>
    <row r="131" spans="1:4" ht="20.25" customHeight="1" x14ac:dyDescent="0.25">
      <c r="A131" s="42" t="s">
        <v>321</v>
      </c>
      <c r="B131" s="42" t="s">
        <v>322</v>
      </c>
      <c r="C131" s="63">
        <f>2.5+3.5+2.5+4+2+2.5</f>
        <v>17</v>
      </c>
      <c r="D131" s="47">
        <v>6</v>
      </c>
    </row>
    <row r="132" spans="1:4" ht="20.25" customHeight="1" x14ac:dyDescent="0.25">
      <c r="A132" s="42" t="s">
        <v>577</v>
      </c>
      <c r="B132" s="42" t="s">
        <v>680</v>
      </c>
      <c r="C132" s="63">
        <f>2.5+6</f>
        <v>8.5</v>
      </c>
      <c r="D132" s="47">
        <v>2</v>
      </c>
    </row>
    <row r="133" spans="1:4" ht="20.25" customHeight="1" x14ac:dyDescent="0.25">
      <c r="A133" s="42" t="s">
        <v>547</v>
      </c>
      <c r="B133" s="42" t="s">
        <v>677</v>
      </c>
      <c r="C133" s="63">
        <f>2.3+2.7+2.5+4+4+4</f>
        <v>19.5</v>
      </c>
      <c r="D133" s="47">
        <v>6</v>
      </c>
    </row>
    <row r="134" spans="1:4" ht="20.25" customHeight="1" x14ac:dyDescent="0.25">
      <c r="A134" s="42" t="s">
        <v>667</v>
      </c>
      <c r="B134" s="42" t="s">
        <v>925</v>
      </c>
      <c r="C134" s="63">
        <f>4+5</f>
        <v>9</v>
      </c>
      <c r="D134" s="47">
        <v>2</v>
      </c>
    </row>
    <row r="135" spans="1:4" ht="20.25" customHeight="1" x14ac:dyDescent="0.25">
      <c r="A135" s="42" t="s">
        <v>812</v>
      </c>
      <c r="B135" s="42" t="s">
        <v>813</v>
      </c>
      <c r="C135" s="63">
        <f>10</f>
        <v>10</v>
      </c>
      <c r="D135" s="47">
        <v>1</v>
      </c>
    </row>
    <row r="136" spans="1:4" ht="20.25" customHeight="1" x14ac:dyDescent="0.25">
      <c r="A136" s="42" t="s">
        <v>783</v>
      </c>
      <c r="B136" s="42" t="s">
        <v>784</v>
      </c>
      <c r="C136" s="63">
        <f>2</f>
        <v>2</v>
      </c>
      <c r="D136" s="47">
        <v>1</v>
      </c>
    </row>
    <row r="137" spans="1:4" ht="20.25" customHeight="1" x14ac:dyDescent="0.25">
      <c r="A137" s="42" t="s">
        <v>164</v>
      </c>
      <c r="B137" s="42" t="s">
        <v>847</v>
      </c>
      <c r="C137" s="63">
        <f>5</f>
        <v>5</v>
      </c>
      <c r="D137" s="47">
        <v>1</v>
      </c>
    </row>
    <row r="138" spans="1:4" ht="20.25" customHeight="1" x14ac:dyDescent="0.25">
      <c r="A138" s="42" t="s">
        <v>274</v>
      </c>
      <c r="B138" s="42" t="s">
        <v>275</v>
      </c>
      <c r="C138" s="63">
        <f>5</f>
        <v>5</v>
      </c>
      <c r="D138" s="47">
        <f>1</f>
        <v>1</v>
      </c>
    </row>
    <row r="139" spans="1:4" ht="20.25" customHeight="1" x14ac:dyDescent="0.25">
      <c r="A139" s="42" t="s">
        <v>673</v>
      </c>
      <c r="B139" s="42" t="s">
        <v>695</v>
      </c>
      <c r="C139" s="63">
        <f>5+4+4+5</f>
        <v>18</v>
      </c>
      <c r="D139" s="47">
        <v>4</v>
      </c>
    </row>
    <row r="140" spans="1:4" ht="20.25" customHeight="1" x14ac:dyDescent="0.25">
      <c r="A140" s="42" t="s">
        <v>451</v>
      </c>
      <c r="B140" s="42" t="s">
        <v>452</v>
      </c>
      <c r="C140" s="63">
        <f>7.3+10</f>
        <v>17.3</v>
      </c>
      <c r="D140" s="47">
        <f>1+1</f>
        <v>2</v>
      </c>
    </row>
    <row r="141" spans="1:4" ht="20.25" customHeight="1" x14ac:dyDescent="0.25">
      <c r="A141" s="42" t="s">
        <v>324</v>
      </c>
      <c r="B141" s="42" t="s">
        <v>354</v>
      </c>
      <c r="C141" s="63">
        <f>4</f>
        <v>4</v>
      </c>
      <c r="D141" s="47">
        <f>1</f>
        <v>1</v>
      </c>
    </row>
    <row r="142" spans="1:4" ht="20.25" customHeight="1" x14ac:dyDescent="0.25">
      <c r="A142" s="42" t="s">
        <v>126</v>
      </c>
      <c r="B142" s="42" t="s">
        <v>354</v>
      </c>
      <c r="C142" s="63">
        <f>4</f>
        <v>4</v>
      </c>
      <c r="D142" s="47">
        <f>1</f>
        <v>1</v>
      </c>
    </row>
    <row r="143" spans="1:4" ht="20.25" customHeight="1" x14ac:dyDescent="0.25">
      <c r="A143" s="42" t="s">
        <v>20</v>
      </c>
      <c r="B143" s="42" t="s">
        <v>893</v>
      </c>
      <c r="C143" s="63">
        <f>12</f>
        <v>12</v>
      </c>
      <c r="D143" s="47">
        <v>1</v>
      </c>
    </row>
    <row r="144" spans="1:4" ht="20.25" customHeight="1" x14ac:dyDescent="0.25">
      <c r="A144" s="42" t="s">
        <v>104</v>
      </c>
      <c r="B144" s="42" t="s">
        <v>1040</v>
      </c>
      <c r="C144" s="63">
        <f>2.5+2.5</f>
        <v>5</v>
      </c>
      <c r="D144" s="47">
        <v>2</v>
      </c>
    </row>
    <row r="145" spans="1:4" ht="20.25" customHeight="1" x14ac:dyDescent="0.25">
      <c r="A145" s="42" t="s">
        <v>81</v>
      </c>
      <c r="B145" s="42" t="s">
        <v>356</v>
      </c>
      <c r="C145" s="63">
        <f>4</f>
        <v>4</v>
      </c>
      <c r="D145" s="47">
        <f>1</f>
        <v>1</v>
      </c>
    </row>
    <row r="146" spans="1:4" ht="20.25" customHeight="1" x14ac:dyDescent="0.25">
      <c r="A146" s="42" t="s">
        <v>463</v>
      </c>
      <c r="B146" s="42" t="s">
        <v>464</v>
      </c>
      <c r="C146" s="63">
        <f>15</f>
        <v>15</v>
      </c>
      <c r="D146" s="47">
        <f>1</f>
        <v>1</v>
      </c>
    </row>
    <row r="147" spans="1:4" ht="20.25" customHeight="1" x14ac:dyDescent="0.25">
      <c r="A147" s="42" t="s">
        <v>114</v>
      </c>
      <c r="B147" s="42" t="s">
        <v>889</v>
      </c>
      <c r="C147" s="63">
        <f>7.4+5.1+5.25+7.1</f>
        <v>24.85</v>
      </c>
      <c r="D147" s="47">
        <v>4</v>
      </c>
    </row>
    <row r="148" spans="1:4" ht="20.25" customHeight="1" x14ac:dyDescent="0.25">
      <c r="A148" s="42" t="s">
        <v>439</v>
      </c>
      <c r="B148" s="42" t="s">
        <v>440</v>
      </c>
      <c r="C148" s="63">
        <f>14</f>
        <v>14</v>
      </c>
      <c r="D148" s="47">
        <f>1</f>
        <v>1</v>
      </c>
    </row>
    <row r="149" spans="1:4" ht="20.25" customHeight="1" x14ac:dyDescent="0.25">
      <c r="A149" s="42" t="s">
        <v>800</v>
      </c>
      <c r="B149" s="42" t="s">
        <v>801</v>
      </c>
      <c r="C149" s="63">
        <f>5+2.2</f>
        <v>7.2</v>
      </c>
      <c r="D149" s="47">
        <v>2</v>
      </c>
    </row>
    <row r="150" spans="1:4" ht="20.25" customHeight="1" x14ac:dyDescent="0.25">
      <c r="A150" s="42" t="s">
        <v>26</v>
      </c>
      <c r="B150" s="42" t="s">
        <v>994</v>
      </c>
      <c r="C150" s="63">
        <f>12</f>
        <v>12</v>
      </c>
      <c r="D150" s="47">
        <v>1</v>
      </c>
    </row>
    <row r="151" spans="1:4" ht="19.5" customHeight="1" x14ac:dyDescent="0.25">
      <c r="A151" s="42" t="s">
        <v>128</v>
      </c>
      <c r="B151" s="42" t="s">
        <v>1015</v>
      </c>
      <c r="C151" s="63">
        <f>10</f>
        <v>10</v>
      </c>
      <c r="D151" s="47">
        <v>1</v>
      </c>
    </row>
    <row r="152" spans="1:4" ht="19.5" customHeight="1" x14ac:dyDescent="0.25">
      <c r="A152" s="42" t="s">
        <v>911</v>
      </c>
      <c r="B152" s="42" t="s">
        <v>912</v>
      </c>
      <c r="C152" s="63">
        <f>2+2</f>
        <v>4</v>
      </c>
      <c r="D152" s="47">
        <v>2</v>
      </c>
    </row>
    <row r="153" spans="1:4" ht="19.5" customHeight="1" x14ac:dyDescent="0.25">
      <c r="A153" s="42" t="s">
        <v>913</v>
      </c>
      <c r="B153" s="42" t="s">
        <v>912</v>
      </c>
      <c r="C153" s="63">
        <f>2+2</f>
        <v>4</v>
      </c>
      <c r="D153" s="47">
        <v>2</v>
      </c>
    </row>
    <row r="154" spans="1:4" ht="19.5" customHeight="1" x14ac:dyDescent="0.25">
      <c r="A154" s="42" t="s">
        <v>595</v>
      </c>
      <c r="B154" s="42" t="s">
        <v>596</v>
      </c>
      <c r="C154" s="63">
        <f>5+5</f>
        <v>10</v>
      </c>
      <c r="D154" s="47">
        <f>1+1</f>
        <v>2</v>
      </c>
    </row>
    <row r="155" spans="1:4" ht="19.5" customHeight="1" x14ac:dyDescent="0.25">
      <c r="A155" s="42" t="s">
        <v>142</v>
      </c>
      <c r="B155" s="42" t="s">
        <v>569</v>
      </c>
      <c r="C155" s="63">
        <f>5+5+5</f>
        <v>15</v>
      </c>
      <c r="D155" s="47">
        <v>3</v>
      </c>
    </row>
    <row r="156" spans="1:4" ht="19.5" customHeight="1" x14ac:dyDescent="0.25">
      <c r="A156" s="42" t="s">
        <v>478</v>
      </c>
      <c r="B156" s="42" t="s">
        <v>479</v>
      </c>
      <c r="C156" s="63">
        <f>5+5+5</f>
        <v>15</v>
      </c>
      <c r="D156" s="47">
        <v>3</v>
      </c>
    </row>
    <row r="157" spans="1:4" ht="19.5" customHeight="1" x14ac:dyDescent="0.25">
      <c r="A157" s="42" t="s">
        <v>482</v>
      </c>
      <c r="B157" s="42" t="s">
        <v>483</v>
      </c>
      <c r="C157" s="63">
        <f>2.5+2.3</f>
        <v>4.8</v>
      </c>
      <c r="D157" s="47">
        <v>2</v>
      </c>
    </row>
    <row r="158" spans="1:4" ht="19.5" customHeight="1" x14ac:dyDescent="0.25">
      <c r="A158" s="42" t="s">
        <v>951</v>
      </c>
      <c r="B158" s="42" t="s">
        <v>241</v>
      </c>
      <c r="C158" s="63">
        <f>4</f>
        <v>4</v>
      </c>
      <c r="D158" s="47">
        <v>1</v>
      </c>
    </row>
    <row r="159" spans="1:4" ht="19.5" customHeight="1" x14ac:dyDescent="0.25">
      <c r="A159" s="42" t="s">
        <v>835</v>
      </c>
      <c r="B159" s="42" t="s">
        <v>207</v>
      </c>
      <c r="C159" s="63">
        <f>5</f>
        <v>5</v>
      </c>
      <c r="D159" s="47">
        <v>1</v>
      </c>
    </row>
    <row r="160" spans="1:4" ht="19.5" customHeight="1" x14ac:dyDescent="0.25">
      <c r="A160" s="42" t="s">
        <v>175</v>
      </c>
      <c r="B160" s="42" t="s">
        <v>690</v>
      </c>
      <c r="C160" s="63">
        <f>3</f>
        <v>3</v>
      </c>
      <c r="D160" s="47">
        <v>1</v>
      </c>
    </row>
    <row r="161" spans="1:23" ht="19.5" customHeight="1" x14ac:dyDescent="0.25">
      <c r="A161" s="42" t="s">
        <v>952</v>
      </c>
      <c r="B161" s="42" t="s">
        <v>953</v>
      </c>
      <c r="C161" s="63">
        <f>4+4</f>
        <v>8</v>
      </c>
      <c r="D161" s="47">
        <v>2</v>
      </c>
    </row>
    <row r="162" spans="1:23" ht="19.5" customHeight="1" x14ac:dyDescent="0.25">
      <c r="A162" s="42" t="s">
        <v>510</v>
      </c>
      <c r="B162" s="42" t="s">
        <v>211</v>
      </c>
      <c r="C162" s="63">
        <f>12</f>
        <v>12</v>
      </c>
      <c r="D162" s="47">
        <v>1</v>
      </c>
    </row>
    <row r="163" spans="1:23" ht="19.5" customHeight="1" x14ac:dyDescent="0.25">
      <c r="A163" s="42" t="s">
        <v>70</v>
      </c>
      <c r="B163" s="42" t="s">
        <v>211</v>
      </c>
      <c r="C163" s="63">
        <f>7.5+5+4+4</f>
        <v>20.5</v>
      </c>
      <c r="D163" s="47">
        <v>4</v>
      </c>
    </row>
    <row r="164" spans="1:23" ht="19.5" customHeight="1" x14ac:dyDescent="0.25">
      <c r="A164" s="42" t="s">
        <v>510</v>
      </c>
      <c r="B164" s="42" t="s">
        <v>1056</v>
      </c>
      <c r="C164" s="63">
        <f>5</f>
        <v>5</v>
      </c>
      <c r="D164" s="47">
        <v>1</v>
      </c>
    </row>
    <row r="165" spans="1:23" ht="19.5" customHeight="1" x14ac:dyDescent="0.25">
      <c r="A165" s="42" t="s">
        <v>119</v>
      </c>
      <c r="B165" s="42" t="s">
        <v>488</v>
      </c>
      <c r="C165" s="63">
        <f>4+4</f>
        <v>8</v>
      </c>
      <c r="D165" s="47">
        <f>1+1</f>
        <v>2</v>
      </c>
    </row>
    <row r="166" spans="1:23" ht="19.5" customHeight="1" x14ac:dyDescent="0.25">
      <c r="A166" s="42" t="s">
        <v>691</v>
      </c>
      <c r="B166" s="42" t="s">
        <v>692</v>
      </c>
      <c r="C166" s="63">
        <f>3.2+4+3+5+3.25</f>
        <v>18.45</v>
      </c>
      <c r="D166" s="47">
        <v>5</v>
      </c>
    </row>
    <row r="167" spans="1:23" ht="19.5" customHeight="1" x14ac:dyDescent="0.25">
      <c r="A167" s="42" t="s">
        <v>51</v>
      </c>
      <c r="B167" s="42" t="s">
        <v>940</v>
      </c>
      <c r="C167" s="63">
        <f>2.5+4.5</f>
        <v>7</v>
      </c>
      <c r="D167" s="47">
        <v>2</v>
      </c>
    </row>
    <row r="168" spans="1:23" ht="19.5" customHeight="1" x14ac:dyDescent="0.25">
      <c r="A168" s="42" t="s">
        <v>714</v>
      </c>
      <c r="B168" s="42" t="s">
        <v>823</v>
      </c>
      <c r="C168" s="63">
        <f>4</f>
        <v>4</v>
      </c>
      <c r="D168" s="47">
        <v>1</v>
      </c>
    </row>
    <row r="169" spans="1:23" ht="19.5" customHeight="1" x14ac:dyDescent="0.25">
      <c r="A169" s="42" t="s">
        <v>842</v>
      </c>
      <c r="B169" s="42" t="s">
        <v>843</v>
      </c>
      <c r="C169" s="63">
        <f>2+2.5+2+4+2</f>
        <v>12.5</v>
      </c>
      <c r="D169" s="47">
        <v>5</v>
      </c>
    </row>
    <row r="170" spans="1:23" ht="19.5" customHeight="1" x14ac:dyDescent="0.25">
      <c r="A170" s="42" t="s">
        <v>135</v>
      </c>
      <c r="B170" s="42" t="s">
        <v>746</v>
      </c>
      <c r="C170" s="63">
        <f>7+5+12</f>
        <v>24</v>
      </c>
      <c r="D170" s="47">
        <v>3</v>
      </c>
    </row>
    <row r="171" spans="1:23" ht="19.5" customHeight="1" x14ac:dyDescent="0.25">
      <c r="A171" s="42" t="s">
        <v>142</v>
      </c>
      <c r="B171" s="42" t="s">
        <v>233</v>
      </c>
      <c r="C171" s="63">
        <f>5</f>
        <v>5</v>
      </c>
      <c r="D171" s="47">
        <f>1</f>
        <v>1</v>
      </c>
    </row>
    <row r="172" spans="1:23" ht="19.5" customHeight="1" x14ac:dyDescent="0.25">
      <c r="A172" s="42" t="s">
        <v>182</v>
      </c>
      <c r="B172" s="42" t="s">
        <v>459</v>
      </c>
      <c r="C172" s="63">
        <f>12</f>
        <v>12</v>
      </c>
      <c r="D172" s="47">
        <f>1</f>
        <v>1</v>
      </c>
    </row>
    <row r="173" spans="1:23" ht="19.5" customHeight="1" x14ac:dyDescent="0.3">
      <c r="A173" s="42" t="s">
        <v>59</v>
      </c>
      <c r="B173" s="42" t="s">
        <v>458</v>
      </c>
      <c r="C173" s="63">
        <f>8.1+12</f>
        <v>20.100000000000001</v>
      </c>
      <c r="D173" s="47">
        <v>2</v>
      </c>
      <c r="E173" s="37"/>
      <c r="F173" s="38"/>
      <c r="G173" s="39"/>
      <c r="H173" s="40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19.5" customHeight="1" x14ac:dyDescent="0.25">
      <c r="A174" s="42" t="s">
        <v>797</v>
      </c>
      <c r="B174" s="42" t="s">
        <v>798</v>
      </c>
      <c r="C174" s="63">
        <f>2.25</f>
        <v>2.25</v>
      </c>
      <c r="D174" s="47">
        <v>1</v>
      </c>
    </row>
    <row r="175" spans="1:23" ht="19.5" customHeight="1" x14ac:dyDescent="0.25">
      <c r="A175" s="42" t="s">
        <v>336</v>
      </c>
      <c r="B175" s="42" t="s">
        <v>978</v>
      </c>
      <c r="C175" s="63">
        <f>2.5+4</f>
        <v>6.5</v>
      </c>
      <c r="D175" s="47">
        <v>2</v>
      </c>
    </row>
    <row r="176" spans="1:23" ht="19.5" customHeight="1" x14ac:dyDescent="0.25">
      <c r="A176" s="42" t="s">
        <v>732</v>
      </c>
      <c r="B176" s="42" t="s">
        <v>939</v>
      </c>
      <c r="C176" s="63">
        <f>3.5</f>
        <v>3.5</v>
      </c>
      <c r="D176" s="47">
        <v>1</v>
      </c>
    </row>
    <row r="177" spans="1:4" ht="19.5" customHeight="1" x14ac:dyDescent="0.25">
      <c r="A177" s="42" t="s">
        <v>618</v>
      </c>
      <c r="B177" s="42" t="s">
        <v>939</v>
      </c>
      <c r="C177" s="63">
        <f>5</f>
        <v>5</v>
      </c>
      <c r="D177" s="47">
        <v>1</v>
      </c>
    </row>
    <row r="178" spans="1:4" ht="19.5" customHeight="1" x14ac:dyDescent="0.25">
      <c r="A178" s="42" t="s">
        <v>830</v>
      </c>
      <c r="B178" s="42" t="s">
        <v>831</v>
      </c>
      <c r="C178" s="63">
        <f>5</f>
        <v>5</v>
      </c>
      <c r="D178" s="47">
        <v>1</v>
      </c>
    </row>
    <row r="179" spans="1:4" ht="19.5" customHeight="1" x14ac:dyDescent="0.25">
      <c r="A179" s="42" t="s">
        <v>932</v>
      </c>
      <c r="B179" s="42" t="s">
        <v>933</v>
      </c>
      <c r="C179" s="63">
        <f>4+4+4+4</f>
        <v>16</v>
      </c>
      <c r="D179" s="47">
        <v>4</v>
      </c>
    </row>
    <row r="180" spans="1:4" ht="19.5" customHeight="1" x14ac:dyDescent="0.25">
      <c r="A180" s="42" t="s">
        <v>890</v>
      </c>
      <c r="B180" s="42" t="s">
        <v>891</v>
      </c>
      <c r="C180" s="63">
        <f>24</f>
        <v>24</v>
      </c>
      <c r="D180" s="47">
        <v>1</v>
      </c>
    </row>
    <row r="181" spans="1:4" ht="19.5" customHeight="1" x14ac:dyDescent="0.25">
      <c r="A181" s="42" t="s">
        <v>142</v>
      </c>
      <c r="B181" s="42" t="s">
        <v>399</v>
      </c>
      <c r="C181" s="63">
        <f>4+2.25+4+10+2.25+2.25</f>
        <v>24.75</v>
      </c>
      <c r="D181" s="47">
        <v>6</v>
      </c>
    </row>
    <row r="182" spans="1:4" ht="19.5" customHeight="1" x14ac:dyDescent="0.25">
      <c r="A182" s="42" t="s">
        <v>512</v>
      </c>
      <c r="B182" s="42" t="s">
        <v>399</v>
      </c>
      <c r="C182" s="63">
        <f>2.25+2.25+2.5</f>
        <v>7</v>
      </c>
      <c r="D182" s="47">
        <v>3</v>
      </c>
    </row>
    <row r="183" spans="1:4" ht="19.5" customHeight="1" x14ac:dyDescent="0.25">
      <c r="A183" s="42" t="s">
        <v>991</v>
      </c>
      <c r="B183" s="42" t="s">
        <v>399</v>
      </c>
      <c r="C183" s="63">
        <f>2.5</f>
        <v>2.5</v>
      </c>
      <c r="D183" s="47">
        <v>1</v>
      </c>
    </row>
    <row r="184" spans="1:4" ht="19.5" customHeight="1" x14ac:dyDescent="0.25">
      <c r="A184" s="42" t="s">
        <v>726</v>
      </c>
      <c r="B184" s="42" t="s">
        <v>399</v>
      </c>
      <c r="C184" s="63">
        <f>2.25+2.5</f>
        <v>4.75</v>
      </c>
      <c r="D184" s="47">
        <v>2</v>
      </c>
    </row>
    <row r="185" spans="1:4" ht="19.5" customHeight="1" x14ac:dyDescent="0.25">
      <c r="A185" s="42" t="s">
        <v>155</v>
      </c>
      <c r="B185" s="42" t="s">
        <v>764</v>
      </c>
      <c r="C185" s="63">
        <f>4</f>
        <v>4</v>
      </c>
      <c r="D185" s="47">
        <v>1</v>
      </c>
    </row>
    <row r="186" spans="1:4" ht="19.5" customHeight="1" x14ac:dyDescent="0.25">
      <c r="A186" s="42" t="s">
        <v>673</v>
      </c>
      <c r="B186" s="42" t="s">
        <v>674</v>
      </c>
      <c r="C186" s="63">
        <f>2.5</f>
        <v>2.5</v>
      </c>
      <c r="D186" s="47">
        <f>1</f>
        <v>1</v>
      </c>
    </row>
    <row r="187" spans="1:4" ht="19.5" customHeight="1" x14ac:dyDescent="0.25">
      <c r="A187" s="42" t="s">
        <v>926</v>
      </c>
      <c r="B187" s="42" t="s">
        <v>927</v>
      </c>
      <c r="C187" s="63">
        <f>4+2.5+2.25+3.25+5</f>
        <v>17</v>
      </c>
      <c r="D187" s="47">
        <v>5</v>
      </c>
    </row>
    <row r="188" spans="1:4" ht="19.5" customHeight="1" x14ac:dyDescent="0.25">
      <c r="A188" s="42" t="s">
        <v>243</v>
      </c>
      <c r="B188" s="42" t="s">
        <v>244</v>
      </c>
      <c r="C188" s="63">
        <f>4+4</f>
        <v>8</v>
      </c>
      <c r="D188" s="47">
        <f>1+1</f>
        <v>2</v>
      </c>
    </row>
    <row r="189" spans="1:4" ht="19.5" customHeight="1" x14ac:dyDescent="0.25">
      <c r="A189" s="42" t="s">
        <v>13</v>
      </c>
      <c r="B189" s="42" t="s">
        <v>280</v>
      </c>
      <c r="C189" s="63">
        <f>2.5+5</f>
        <v>7.5</v>
      </c>
      <c r="D189" s="47">
        <v>2</v>
      </c>
    </row>
    <row r="190" spans="1:4" ht="19.5" customHeight="1" x14ac:dyDescent="0.25">
      <c r="A190" s="42" t="s">
        <v>666</v>
      </c>
      <c r="B190" s="42" t="s">
        <v>446</v>
      </c>
      <c r="C190" s="63">
        <f>5+5+5+7.5</f>
        <v>22.5</v>
      </c>
      <c r="D190" s="47">
        <v>4</v>
      </c>
    </row>
    <row r="191" spans="1:4" ht="19.5" customHeight="1" x14ac:dyDescent="0.25">
      <c r="A191" s="42" t="s">
        <v>133</v>
      </c>
      <c r="B191" s="42" t="s">
        <v>924</v>
      </c>
      <c r="C191" s="63">
        <f>2.25</f>
        <v>2.25</v>
      </c>
      <c r="D191" s="47">
        <v>1</v>
      </c>
    </row>
    <row r="192" spans="1:4" ht="19.5" customHeight="1" x14ac:dyDescent="0.25">
      <c r="A192" s="42" t="s">
        <v>567</v>
      </c>
      <c r="B192" s="42" t="s">
        <v>996</v>
      </c>
      <c r="C192" s="63">
        <f>2</f>
        <v>2</v>
      </c>
      <c r="D192" s="47">
        <v>1</v>
      </c>
    </row>
    <row r="193" spans="1:23" ht="19.5" customHeight="1" x14ac:dyDescent="0.3">
      <c r="A193" s="42" t="s">
        <v>1052</v>
      </c>
      <c r="B193" s="42" t="s">
        <v>1053</v>
      </c>
      <c r="C193" s="63">
        <f>4</f>
        <v>4</v>
      </c>
      <c r="D193" s="47">
        <v>1</v>
      </c>
      <c r="E193" s="8"/>
      <c r="F193" s="14"/>
      <c r="G193" s="7"/>
      <c r="H193" s="35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19.5" customHeight="1" x14ac:dyDescent="0.25">
      <c r="A194" s="42" t="s">
        <v>579</v>
      </c>
      <c r="B194" s="42" t="s">
        <v>580</v>
      </c>
      <c r="C194" s="63">
        <f>4</f>
        <v>4</v>
      </c>
      <c r="D194" s="47">
        <f>1</f>
        <v>1</v>
      </c>
    </row>
    <row r="195" spans="1:23" ht="19.5" customHeight="1" x14ac:dyDescent="0.3">
      <c r="A195" s="42" t="s">
        <v>376</v>
      </c>
      <c r="B195" s="42" t="s">
        <v>320</v>
      </c>
      <c r="C195" s="63">
        <f>4.87</f>
        <v>4.87</v>
      </c>
      <c r="D195" s="47">
        <f>1</f>
        <v>1</v>
      </c>
      <c r="E195" s="8"/>
      <c r="F195" s="14"/>
      <c r="G195" s="7"/>
      <c r="H195" s="35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19.5" customHeight="1" x14ac:dyDescent="0.25">
      <c r="A196" s="42" t="s">
        <v>182</v>
      </c>
      <c r="B196" s="42" t="s">
        <v>40</v>
      </c>
      <c r="C196" s="63">
        <f>4+4</f>
        <v>8</v>
      </c>
      <c r="D196" s="47">
        <v>2</v>
      </c>
    </row>
    <row r="197" spans="1:23" ht="19.5" customHeight="1" x14ac:dyDescent="0.25">
      <c r="A197" s="42" t="s">
        <v>806</v>
      </c>
      <c r="B197" s="42" t="s">
        <v>915</v>
      </c>
      <c r="C197" s="63">
        <f>4+4</f>
        <v>8</v>
      </c>
      <c r="D197" s="47">
        <v>2</v>
      </c>
    </row>
    <row r="198" spans="1:23" ht="19.5" customHeight="1" x14ac:dyDescent="0.25">
      <c r="A198" s="42" t="s">
        <v>562</v>
      </c>
      <c r="B198" s="42" t="s">
        <v>571</v>
      </c>
      <c r="C198" s="63">
        <f>5+4</f>
        <v>9</v>
      </c>
      <c r="D198" s="47">
        <v>2</v>
      </c>
    </row>
    <row r="199" spans="1:23" ht="19.5" customHeight="1" x14ac:dyDescent="0.25">
      <c r="A199" s="42" t="s">
        <v>728</v>
      </c>
      <c r="B199" s="42" t="s">
        <v>745</v>
      </c>
      <c r="C199" s="63">
        <f>7</f>
        <v>7</v>
      </c>
      <c r="D199" s="47">
        <v>1</v>
      </c>
    </row>
    <row r="200" spans="1:23" ht="19.5" customHeight="1" x14ac:dyDescent="0.25">
      <c r="A200" s="42" t="s">
        <v>15</v>
      </c>
      <c r="B200" s="42" t="s">
        <v>713</v>
      </c>
      <c r="C200" s="63">
        <f>4+4+2+4+2</f>
        <v>16</v>
      </c>
      <c r="D200" s="47">
        <v>5</v>
      </c>
    </row>
    <row r="201" spans="1:23" ht="19.5" customHeight="1" x14ac:dyDescent="0.25">
      <c r="A201" s="42" t="s">
        <v>895</v>
      </c>
      <c r="B201" s="42" t="s">
        <v>896</v>
      </c>
      <c r="C201" s="63">
        <f>12</f>
        <v>12</v>
      </c>
      <c r="D201" s="47">
        <v>1</v>
      </c>
    </row>
    <row r="202" spans="1:23" ht="19.5" customHeight="1" x14ac:dyDescent="0.25">
      <c r="A202" s="42" t="s">
        <v>548</v>
      </c>
      <c r="B202" s="42" t="s">
        <v>554</v>
      </c>
      <c r="C202" s="63">
        <f>1.5+1.5+4</f>
        <v>7</v>
      </c>
      <c r="D202" s="47">
        <v>3</v>
      </c>
    </row>
    <row r="203" spans="1:23" ht="19.5" customHeight="1" x14ac:dyDescent="0.25">
      <c r="A203" s="42" t="s">
        <v>173</v>
      </c>
      <c r="B203" s="42" t="s">
        <v>300</v>
      </c>
      <c r="C203" s="63">
        <f>4+4+4+4+4</f>
        <v>20</v>
      </c>
      <c r="D203" s="47">
        <v>6</v>
      </c>
    </row>
    <row r="204" spans="1:23" ht="19.5" customHeight="1" x14ac:dyDescent="0.25">
      <c r="A204" s="42" t="s">
        <v>806</v>
      </c>
      <c r="B204" s="42" t="s">
        <v>887</v>
      </c>
      <c r="C204" s="63">
        <f>4+4+4+4</f>
        <v>16</v>
      </c>
      <c r="D204" s="47">
        <v>4</v>
      </c>
    </row>
    <row r="205" spans="1:23" ht="19.5" customHeight="1" x14ac:dyDescent="0.3">
      <c r="A205" s="42" t="s">
        <v>210</v>
      </c>
      <c r="B205" s="42" t="s">
        <v>825</v>
      </c>
      <c r="C205" s="63">
        <f>3</f>
        <v>3</v>
      </c>
      <c r="D205" s="47">
        <v>1</v>
      </c>
      <c r="E205" s="37"/>
      <c r="F205" s="38"/>
      <c r="G205" s="39"/>
      <c r="H205" s="40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19.5" customHeight="1" x14ac:dyDescent="0.25">
      <c r="A206" s="42" t="s">
        <v>431</v>
      </c>
      <c r="B206" s="42" t="s">
        <v>432</v>
      </c>
      <c r="C206" s="63">
        <f>2.5</f>
        <v>2.5</v>
      </c>
      <c r="D206" s="47">
        <f>1</f>
        <v>1</v>
      </c>
    </row>
    <row r="207" spans="1:23" ht="19.5" customHeight="1" x14ac:dyDescent="0.25">
      <c r="A207" s="42" t="s">
        <v>958</v>
      </c>
      <c r="B207" s="42" t="s">
        <v>959</v>
      </c>
      <c r="C207" s="63">
        <f>4+4+4+6</f>
        <v>18</v>
      </c>
      <c r="D207" s="47">
        <v>4</v>
      </c>
    </row>
    <row r="208" spans="1:23" ht="19.5" customHeight="1" x14ac:dyDescent="0.25">
      <c r="A208" s="42" t="s">
        <v>708</v>
      </c>
      <c r="B208" s="42" t="s">
        <v>709</v>
      </c>
      <c r="C208" s="63">
        <f>4+4+4+4</f>
        <v>16</v>
      </c>
      <c r="D208" s="47">
        <v>4</v>
      </c>
    </row>
    <row r="209" spans="1:23" ht="19.5" customHeight="1" x14ac:dyDescent="0.25">
      <c r="A209" s="42" t="s">
        <v>588</v>
      </c>
      <c r="B209" s="42" t="s">
        <v>589</v>
      </c>
      <c r="C209" s="63">
        <f>4+4+4+4</f>
        <v>16</v>
      </c>
      <c r="D209" s="47">
        <v>4</v>
      </c>
    </row>
    <row r="210" spans="1:23" ht="19.5" customHeight="1" x14ac:dyDescent="0.25">
      <c r="A210" s="42" t="s">
        <v>557</v>
      </c>
      <c r="B210" s="42" t="s">
        <v>558</v>
      </c>
      <c r="C210" s="63">
        <f>4.5</f>
        <v>4.5</v>
      </c>
      <c r="D210" s="47">
        <f>1</f>
        <v>1</v>
      </c>
    </row>
    <row r="211" spans="1:23" ht="19.5" customHeight="1" x14ac:dyDescent="0.25">
      <c r="A211" s="42" t="s">
        <v>227</v>
      </c>
      <c r="B211" s="42" t="s">
        <v>699</v>
      </c>
      <c r="C211" s="63">
        <f>5.5+4+4</f>
        <v>13.5</v>
      </c>
      <c r="D211" s="47">
        <v>3</v>
      </c>
    </row>
    <row r="212" spans="1:23" ht="19.5" customHeight="1" x14ac:dyDescent="0.25">
      <c r="A212" s="42" t="s">
        <v>206</v>
      </c>
      <c r="B212" s="42" t="s">
        <v>274</v>
      </c>
      <c r="C212" s="63">
        <f>2.5+2.5+2.5</f>
        <v>7.5</v>
      </c>
      <c r="D212" s="47">
        <v>3</v>
      </c>
    </row>
    <row r="213" spans="1:23" ht="19.5" customHeight="1" x14ac:dyDescent="0.25">
      <c r="A213" s="42" t="s">
        <v>171</v>
      </c>
      <c r="B213" s="42" t="s">
        <v>736</v>
      </c>
      <c r="C213" s="63">
        <f>4+2.5</f>
        <v>6.5</v>
      </c>
      <c r="D213" s="47">
        <v>1</v>
      </c>
    </row>
    <row r="214" spans="1:23" ht="19.5" customHeight="1" x14ac:dyDescent="0.25">
      <c r="A214" s="42" t="s">
        <v>727</v>
      </c>
      <c r="B214" s="42" t="s">
        <v>743</v>
      </c>
      <c r="C214" s="63">
        <f>7</f>
        <v>7</v>
      </c>
      <c r="D214" s="47">
        <v>1</v>
      </c>
    </row>
    <row r="215" spans="1:23" ht="19.5" customHeight="1" x14ac:dyDescent="0.25">
      <c r="A215" s="42" t="s">
        <v>789</v>
      </c>
      <c r="B215" s="42" t="s">
        <v>790</v>
      </c>
      <c r="C215" s="63">
        <f>2</f>
        <v>2</v>
      </c>
      <c r="D215" s="47">
        <v>1</v>
      </c>
    </row>
    <row r="216" spans="1:23" ht="19.5" customHeight="1" x14ac:dyDescent="0.25">
      <c r="A216" s="42" t="s">
        <v>797</v>
      </c>
      <c r="B216" s="42" t="s">
        <v>938</v>
      </c>
      <c r="C216" s="63">
        <f>5+4+5+7</f>
        <v>21</v>
      </c>
      <c r="D216" s="47">
        <v>4</v>
      </c>
    </row>
    <row r="217" spans="1:23" ht="19.5" customHeight="1" x14ac:dyDescent="0.3">
      <c r="A217" s="42" t="s">
        <v>981</v>
      </c>
      <c r="B217" s="42" t="s">
        <v>980</v>
      </c>
      <c r="C217" s="63">
        <f>2.5</f>
        <v>2.5</v>
      </c>
      <c r="D217" s="47">
        <v>1</v>
      </c>
      <c r="E217" s="8"/>
      <c r="F217" s="14"/>
      <c r="G217" s="7"/>
      <c r="H217" s="35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19.5" customHeight="1" x14ac:dyDescent="0.25">
      <c r="A218" s="42" t="s">
        <v>590</v>
      </c>
      <c r="B218" s="42" t="s">
        <v>1049</v>
      </c>
      <c r="C218" s="63">
        <f>4+4+6+2</f>
        <v>16</v>
      </c>
      <c r="D218" s="47">
        <v>4</v>
      </c>
    </row>
    <row r="219" spans="1:23" ht="19.5" customHeight="1" x14ac:dyDescent="0.3">
      <c r="A219" s="42" t="s">
        <v>28</v>
      </c>
      <c r="B219" s="42" t="s">
        <v>593</v>
      </c>
      <c r="C219" s="63">
        <f>5</f>
        <v>5</v>
      </c>
      <c r="D219" s="47">
        <f>1</f>
        <v>1</v>
      </c>
      <c r="E219" s="8"/>
      <c r="F219" s="14"/>
      <c r="G219" s="7"/>
      <c r="H219" s="35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19.5" customHeight="1" x14ac:dyDescent="0.25">
      <c r="A220" s="42" t="s">
        <v>995</v>
      </c>
      <c r="B220" s="42" t="s">
        <v>421</v>
      </c>
      <c r="C220" s="63">
        <f>4+4+4</f>
        <v>12</v>
      </c>
      <c r="D220" s="47">
        <v>3</v>
      </c>
    </row>
    <row r="221" spans="1:23" ht="19.5" customHeight="1" x14ac:dyDescent="0.3">
      <c r="A221" s="42" t="s">
        <v>822</v>
      </c>
      <c r="B221" s="42" t="s">
        <v>986</v>
      </c>
      <c r="C221" s="63">
        <f>3+2.4+3.1</f>
        <v>8.5</v>
      </c>
      <c r="D221" s="47">
        <v>3</v>
      </c>
      <c r="E221" s="8"/>
      <c r="F221" s="14"/>
      <c r="G221" s="7"/>
      <c r="H221" s="35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19.5" customHeight="1" x14ac:dyDescent="0.25">
      <c r="A222" s="42" t="s">
        <v>13</v>
      </c>
      <c r="B222" s="42" t="s">
        <v>773</v>
      </c>
      <c r="C222" s="63">
        <f>12</f>
        <v>12</v>
      </c>
      <c r="D222" s="47">
        <v>1</v>
      </c>
    </row>
    <row r="223" spans="1:23" ht="19.5" customHeight="1" x14ac:dyDescent="0.25">
      <c r="A223" s="42" t="s">
        <v>725</v>
      </c>
      <c r="B223" s="42" t="s">
        <v>740</v>
      </c>
      <c r="C223" s="63">
        <f>2.5+4</f>
        <v>6.5</v>
      </c>
      <c r="D223" s="47">
        <v>2</v>
      </c>
    </row>
    <row r="224" spans="1:23" ht="19.5" customHeight="1" x14ac:dyDescent="0.25">
      <c r="A224" s="42" t="s">
        <v>74</v>
      </c>
      <c r="B224" s="42" t="s">
        <v>610</v>
      </c>
      <c r="C224" s="63">
        <f>13</f>
        <v>13</v>
      </c>
      <c r="D224" s="47">
        <f>1</f>
        <v>1</v>
      </c>
    </row>
    <row r="225" spans="1:23" ht="19.5" customHeight="1" x14ac:dyDescent="0.25">
      <c r="A225" s="42" t="s">
        <v>560</v>
      </c>
      <c r="B225" s="42" t="s">
        <v>570</v>
      </c>
      <c r="C225" s="63">
        <f>5+5</f>
        <v>10</v>
      </c>
      <c r="D225" s="47">
        <f>1+1</f>
        <v>2</v>
      </c>
    </row>
    <row r="226" spans="1:23" ht="19.5" customHeight="1" x14ac:dyDescent="0.25">
      <c r="A226" s="42" t="s">
        <v>559</v>
      </c>
      <c r="B226" s="42" t="s">
        <v>570</v>
      </c>
      <c r="C226" s="63">
        <f>2.5+2.61</f>
        <v>5.1099999999999994</v>
      </c>
      <c r="D226" s="47">
        <f>1+1</f>
        <v>2</v>
      </c>
    </row>
    <row r="227" spans="1:23" ht="19.5" customHeight="1" x14ac:dyDescent="0.25">
      <c r="A227" s="42" t="s">
        <v>297</v>
      </c>
      <c r="B227" s="42" t="s">
        <v>1006</v>
      </c>
      <c r="C227" s="63">
        <f>5+4</f>
        <v>9</v>
      </c>
      <c r="D227" s="47">
        <v>2</v>
      </c>
    </row>
    <row r="228" spans="1:23" ht="19.5" customHeight="1" x14ac:dyDescent="0.25">
      <c r="A228" s="42" t="s">
        <v>563</v>
      </c>
      <c r="B228" s="42" t="s">
        <v>572</v>
      </c>
      <c r="C228" s="63">
        <f>5</f>
        <v>5</v>
      </c>
      <c r="D228" s="47">
        <f>1</f>
        <v>1</v>
      </c>
    </row>
    <row r="229" spans="1:23" ht="19.5" customHeight="1" x14ac:dyDescent="0.25">
      <c r="A229" s="42" t="s">
        <v>376</v>
      </c>
      <c r="B229" s="42" t="s">
        <v>538</v>
      </c>
      <c r="C229" s="63">
        <f>5</f>
        <v>5</v>
      </c>
      <c r="D229" s="47">
        <f>1</f>
        <v>1</v>
      </c>
    </row>
    <row r="230" spans="1:23" ht="19.5" customHeight="1" x14ac:dyDescent="0.25">
      <c r="A230" s="42" t="s">
        <v>133</v>
      </c>
      <c r="B230" s="42" t="s">
        <v>219</v>
      </c>
      <c r="C230" s="63">
        <f>5+5+5+5</f>
        <v>20</v>
      </c>
      <c r="D230" s="47">
        <v>4</v>
      </c>
    </row>
    <row r="231" spans="1:23" ht="19.5" customHeight="1" x14ac:dyDescent="0.25">
      <c r="A231" s="42" t="s">
        <v>475</v>
      </c>
      <c r="B231" s="42" t="s">
        <v>476</v>
      </c>
      <c r="C231" s="63">
        <f>3.5</f>
        <v>3.5</v>
      </c>
      <c r="D231" s="47">
        <f>1</f>
        <v>1</v>
      </c>
    </row>
    <row r="232" spans="1:23" ht="19.5" customHeight="1" x14ac:dyDescent="0.25">
      <c r="A232" s="42" t="s">
        <v>645</v>
      </c>
      <c r="B232" s="42" t="s">
        <v>646</v>
      </c>
      <c r="C232" s="63">
        <f>4+2.6</f>
        <v>6.6</v>
      </c>
      <c r="D232" s="47">
        <v>2</v>
      </c>
    </row>
    <row r="233" spans="1:23" ht="19.5" customHeight="1" x14ac:dyDescent="0.25">
      <c r="A233" s="42" t="s">
        <v>897</v>
      </c>
      <c r="B233" s="42" t="s">
        <v>379</v>
      </c>
      <c r="C233" s="63">
        <f>18</f>
        <v>18</v>
      </c>
      <c r="D233" s="47">
        <v>1</v>
      </c>
    </row>
    <row r="234" spans="1:23" ht="19.5" customHeight="1" x14ac:dyDescent="0.25">
      <c r="A234" s="42" t="s">
        <v>430</v>
      </c>
      <c r="B234" s="42" t="s">
        <v>379</v>
      </c>
      <c r="C234" s="63">
        <f>2.5+18</f>
        <v>20.5</v>
      </c>
      <c r="D234" s="47">
        <v>2</v>
      </c>
    </row>
    <row r="235" spans="1:23" ht="19.5" customHeight="1" x14ac:dyDescent="0.25">
      <c r="A235" s="42" t="s">
        <v>303</v>
      </c>
      <c r="B235" s="42" t="s">
        <v>379</v>
      </c>
      <c r="C235" s="63">
        <f>4+4</f>
        <v>8</v>
      </c>
      <c r="D235" s="47">
        <f>1+1</f>
        <v>2</v>
      </c>
    </row>
    <row r="236" spans="1:23" ht="19.5" customHeight="1" x14ac:dyDescent="0.25">
      <c r="A236" s="42" t="s">
        <v>414</v>
      </c>
      <c r="B236" s="42" t="s">
        <v>1021</v>
      </c>
      <c r="C236" s="63">
        <f>2</f>
        <v>2</v>
      </c>
      <c r="D236" s="47">
        <v>1</v>
      </c>
    </row>
    <row r="237" spans="1:23" ht="19.5" customHeight="1" x14ac:dyDescent="0.25">
      <c r="A237" s="42" t="s">
        <v>510</v>
      </c>
      <c r="B237" s="42" t="s">
        <v>52</v>
      </c>
      <c r="C237" s="63">
        <f>7</f>
        <v>7</v>
      </c>
      <c r="D237" s="47">
        <f>1</f>
        <v>1</v>
      </c>
    </row>
    <row r="238" spans="1:23" ht="19.5" customHeight="1" x14ac:dyDescent="0.3">
      <c r="A238" s="42" t="s">
        <v>956</v>
      </c>
      <c r="B238" s="42" t="s">
        <v>957</v>
      </c>
      <c r="C238" s="63">
        <f>5+4+4+6</f>
        <v>19</v>
      </c>
      <c r="D238" s="47">
        <v>4</v>
      </c>
      <c r="E238" s="8"/>
      <c r="F238" s="14"/>
      <c r="G238" s="7"/>
      <c r="H238" s="35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19.5" customHeight="1" x14ac:dyDescent="0.25">
      <c r="A239" s="42" t="s">
        <v>51</v>
      </c>
      <c r="B239" s="42" t="s">
        <v>422</v>
      </c>
      <c r="C239" s="63">
        <f>4+5</f>
        <v>9</v>
      </c>
      <c r="D239" s="47">
        <f>1+1</f>
        <v>2</v>
      </c>
    </row>
    <row r="240" spans="1:23" ht="19.5" customHeight="1" x14ac:dyDescent="0.25">
      <c r="A240" s="42" t="s">
        <v>135</v>
      </c>
      <c r="B240" s="42" t="s">
        <v>462</v>
      </c>
      <c r="C240" s="63">
        <f>11</f>
        <v>11</v>
      </c>
      <c r="D240" s="47">
        <f>1</f>
        <v>1</v>
      </c>
    </row>
    <row r="241" spans="1:4" ht="19.5" customHeight="1" x14ac:dyDescent="0.25">
      <c r="A241" s="42" t="s">
        <v>449</v>
      </c>
      <c r="B241" s="42" t="s">
        <v>450</v>
      </c>
      <c r="C241" s="63">
        <f>7+6+6</f>
        <v>19</v>
      </c>
      <c r="D241" s="47">
        <v>3</v>
      </c>
    </row>
    <row r="242" spans="1:4" ht="19.5" customHeight="1" x14ac:dyDescent="0.25">
      <c r="A242" s="42" t="s">
        <v>616</v>
      </c>
      <c r="B242" s="42" t="s">
        <v>829</v>
      </c>
      <c r="C242" s="63">
        <f>4+5+2</f>
        <v>11</v>
      </c>
      <c r="D242" s="47">
        <v>3</v>
      </c>
    </row>
    <row r="243" spans="1:4" ht="19.5" customHeight="1" x14ac:dyDescent="0.25">
      <c r="A243" s="42" t="s">
        <v>618</v>
      </c>
      <c r="B243" s="42" t="s">
        <v>642</v>
      </c>
      <c r="C243" s="63">
        <f>7+5.5</f>
        <v>12.5</v>
      </c>
      <c r="D243" s="47">
        <v>2</v>
      </c>
    </row>
    <row r="244" spans="1:4" ht="19.5" customHeight="1" x14ac:dyDescent="0.25">
      <c r="A244" s="42" t="s">
        <v>380</v>
      </c>
      <c r="B244" s="42" t="s">
        <v>381</v>
      </c>
      <c r="C244" s="63">
        <f>4+4</f>
        <v>8</v>
      </c>
      <c r="D244" s="47">
        <f>1+1</f>
        <v>2</v>
      </c>
    </row>
    <row r="245" spans="1:4" ht="19.5" customHeight="1" x14ac:dyDescent="0.25">
      <c r="A245" s="42" t="s">
        <v>210</v>
      </c>
      <c r="B245" s="42" t="s">
        <v>470</v>
      </c>
      <c r="C245" s="63">
        <f>4</f>
        <v>4</v>
      </c>
      <c r="D245" s="47">
        <f>1</f>
        <v>1</v>
      </c>
    </row>
    <row r="246" spans="1:4" ht="19.5" customHeight="1" x14ac:dyDescent="0.25">
      <c r="A246" s="42" t="s">
        <v>973</v>
      </c>
      <c r="B246" s="42" t="s">
        <v>1042</v>
      </c>
      <c r="C246" s="63">
        <f>4+2+4+2.4+4</f>
        <v>16.399999999999999</v>
      </c>
      <c r="D246" s="47">
        <v>5</v>
      </c>
    </row>
    <row r="247" spans="1:4" ht="19.5" customHeight="1" x14ac:dyDescent="0.25">
      <c r="A247" s="42" t="s">
        <v>217</v>
      </c>
      <c r="B247" s="42" t="s">
        <v>316</v>
      </c>
      <c r="C247" s="63">
        <f>7</f>
        <v>7</v>
      </c>
      <c r="D247" s="47">
        <f>1</f>
        <v>1</v>
      </c>
    </row>
    <row r="248" spans="1:4" ht="19.5" customHeight="1" x14ac:dyDescent="0.25">
      <c r="A248" s="42" t="s">
        <v>96</v>
      </c>
      <c r="B248" s="42" t="s">
        <v>884</v>
      </c>
      <c r="C248" s="63">
        <f>2.5+2.5+2.5</f>
        <v>7.5</v>
      </c>
      <c r="D248" s="47">
        <v>3</v>
      </c>
    </row>
    <row r="249" spans="1:4" ht="19.5" customHeight="1" x14ac:dyDescent="0.25">
      <c r="A249" s="42" t="s">
        <v>518</v>
      </c>
      <c r="B249" s="42" t="s">
        <v>519</v>
      </c>
      <c r="C249" s="63">
        <f>4.25</f>
        <v>4.25</v>
      </c>
      <c r="D249" s="47">
        <f>1</f>
        <v>1</v>
      </c>
    </row>
    <row r="250" spans="1:4" ht="19.5" customHeight="1" x14ac:dyDescent="0.25">
      <c r="A250" s="42" t="s">
        <v>404</v>
      </c>
      <c r="B250" s="42" t="s">
        <v>405</v>
      </c>
      <c r="C250" s="63">
        <f>4</f>
        <v>4</v>
      </c>
      <c r="D250" s="47">
        <f>1</f>
        <v>1</v>
      </c>
    </row>
    <row r="251" spans="1:4" ht="19.5" customHeight="1" x14ac:dyDescent="0.25">
      <c r="A251" s="42" t="s">
        <v>155</v>
      </c>
      <c r="B251" s="42" t="s">
        <v>653</v>
      </c>
      <c r="C251" s="63">
        <f>4</f>
        <v>4</v>
      </c>
      <c r="D251" s="47">
        <f>1</f>
        <v>1</v>
      </c>
    </row>
    <row r="252" spans="1:4" ht="19.5" customHeight="1" x14ac:dyDescent="0.25">
      <c r="A252" s="42" t="s">
        <v>1029</v>
      </c>
      <c r="B252" s="42" t="s">
        <v>1030</v>
      </c>
      <c r="C252" s="63">
        <f>5</f>
        <v>5</v>
      </c>
      <c r="D252" s="47">
        <v>1</v>
      </c>
    </row>
    <row r="253" spans="1:4" ht="19.5" customHeight="1" x14ac:dyDescent="0.25">
      <c r="A253" s="42" t="s">
        <v>510</v>
      </c>
      <c r="B253" s="42" t="s">
        <v>1030</v>
      </c>
      <c r="C253" s="63">
        <f>6.6</f>
        <v>6.6</v>
      </c>
      <c r="D253" s="47">
        <v>1</v>
      </c>
    </row>
    <row r="254" spans="1:4" ht="19.5" customHeight="1" x14ac:dyDescent="0.25">
      <c r="A254" s="42" t="s">
        <v>556</v>
      </c>
      <c r="B254" s="42" t="s">
        <v>64</v>
      </c>
      <c r="C254" s="63">
        <f>4</f>
        <v>4</v>
      </c>
      <c r="D254" s="47">
        <f>1</f>
        <v>1</v>
      </c>
    </row>
    <row r="255" spans="1:4" ht="19.5" customHeight="1" x14ac:dyDescent="0.25">
      <c r="A255" s="42" t="s">
        <v>628</v>
      </c>
      <c r="B255" s="42" t="s">
        <v>64</v>
      </c>
      <c r="C255" s="63">
        <f>4</f>
        <v>4</v>
      </c>
      <c r="D255" s="47">
        <v>1</v>
      </c>
    </row>
    <row r="256" spans="1:4" ht="19.5" customHeight="1" x14ac:dyDescent="0.25">
      <c r="A256" s="42" t="s">
        <v>504</v>
      </c>
      <c r="B256" s="42" t="s">
        <v>505</v>
      </c>
      <c r="C256" s="63">
        <f>5+8</f>
        <v>13</v>
      </c>
      <c r="D256" s="47">
        <f>1+1</f>
        <v>2</v>
      </c>
    </row>
    <row r="257" spans="1:23" ht="19.5" customHeight="1" x14ac:dyDescent="0.25">
      <c r="A257" s="42" t="s">
        <v>277</v>
      </c>
      <c r="B257" s="42" t="s">
        <v>700</v>
      </c>
      <c r="C257" s="63">
        <f>5+4</f>
        <v>9</v>
      </c>
      <c r="D257" s="47">
        <v>2</v>
      </c>
    </row>
    <row r="258" spans="1:23" ht="19.5" customHeight="1" x14ac:dyDescent="0.25">
      <c r="A258" s="42" t="s">
        <v>706</v>
      </c>
      <c r="B258" s="42" t="s">
        <v>153</v>
      </c>
      <c r="C258" s="63">
        <f>2+5</f>
        <v>7</v>
      </c>
      <c r="D258" s="47">
        <v>2</v>
      </c>
    </row>
    <row r="259" spans="1:23" ht="19.5" customHeight="1" x14ac:dyDescent="0.25">
      <c r="A259" s="42" t="s">
        <v>507</v>
      </c>
      <c r="B259" s="42" t="s">
        <v>153</v>
      </c>
      <c r="C259" s="63">
        <f>5+5+5+5</f>
        <v>20</v>
      </c>
      <c r="D259" s="47">
        <v>4</v>
      </c>
    </row>
    <row r="260" spans="1:23" ht="19.5" customHeight="1" x14ac:dyDescent="0.25">
      <c r="A260" s="42" t="s">
        <v>624</v>
      </c>
      <c r="B260" s="42" t="s">
        <v>625</v>
      </c>
      <c r="C260" s="63">
        <f>5+5+5</f>
        <v>15</v>
      </c>
      <c r="D260" s="47">
        <v>3</v>
      </c>
    </row>
    <row r="261" spans="1:23" ht="19.5" customHeight="1" x14ac:dyDescent="0.25">
      <c r="A261" s="42" t="s">
        <v>807</v>
      </c>
      <c r="B261" s="42" t="s">
        <v>808</v>
      </c>
      <c r="C261" s="63">
        <f>4</f>
        <v>4</v>
      </c>
      <c r="D261" s="47">
        <v>1</v>
      </c>
    </row>
    <row r="262" spans="1:23" ht="19.5" customHeight="1" x14ac:dyDescent="0.25">
      <c r="A262" s="42" t="s">
        <v>61</v>
      </c>
      <c r="B262" s="42" t="s">
        <v>583</v>
      </c>
      <c r="C262" s="63">
        <f>4+8</f>
        <v>12</v>
      </c>
      <c r="D262" s="47">
        <v>2</v>
      </c>
    </row>
    <row r="263" spans="1:23" ht="20.25" customHeight="1" x14ac:dyDescent="0.3">
      <c r="A263" s="42" t="s">
        <v>628</v>
      </c>
      <c r="B263" s="42" t="s">
        <v>964</v>
      </c>
      <c r="C263" s="63">
        <f>1</f>
        <v>1</v>
      </c>
      <c r="D263" s="47">
        <v>1</v>
      </c>
      <c r="E263" s="8"/>
      <c r="F263" s="14"/>
      <c r="G263" s="7"/>
      <c r="H263" s="35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19.5" customHeight="1" x14ac:dyDescent="0.25">
      <c r="A264" s="42" t="s">
        <v>878</v>
      </c>
      <c r="B264" s="42" t="s">
        <v>879</v>
      </c>
      <c r="C264" s="63">
        <f>2.5+2.5+2.5+2.5+2.5+2.5</f>
        <v>15</v>
      </c>
      <c r="D264" s="47">
        <v>6</v>
      </c>
    </row>
    <row r="265" spans="1:23" ht="19.5" customHeight="1" x14ac:dyDescent="0.25">
      <c r="A265" s="42" t="s">
        <v>288</v>
      </c>
      <c r="B265" s="42" t="s">
        <v>289</v>
      </c>
      <c r="C265" s="63">
        <f>10+12.14</f>
        <v>22.14</v>
      </c>
      <c r="D265" s="47">
        <f>1+1</f>
        <v>2</v>
      </c>
    </row>
    <row r="266" spans="1:23" ht="19.5" customHeight="1" x14ac:dyDescent="0.25">
      <c r="A266" s="42" t="s">
        <v>618</v>
      </c>
      <c r="B266" s="42" t="s">
        <v>767</v>
      </c>
      <c r="C266" s="63">
        <f>4</f>
        <v>4</v>
      </c>
      <c r="D266" s="47">
        <v>1</v>
      </c>
    </row>
    <row r="267" spans="1:23" ht="19.5" customHeight="1" x14ac:dyDescent="0.25">
      <c r="A267" s="42" t="s">
        <v>265</v>
      </c>
      <c r="B267" s="42" t="s">
        <v>968</v>
      </c>
      <c r="C267" s="63">
        <f>2</f>
        <v>2</v>
      </c>
      <c r="D267" s="47">
        <v>1</v>
      </c>
    </row>
    <row r="268" spans="1:23" ht="19.5" customHeight="1" x14ac:dyDescent="0.25">
      <c r="A268" s="42" t="s">
        <v>287</v>
      </c>
      <c r="B268" s="42" t="s">
        <v>113</v>
      </c>
      <c r="C268" s="63">
        <f>4.1+4.2+4.1+4.1+4</f>
        <v>20.5</v>
      </c>
      <c r="D268" s="47">
        <v>5</v>
      </c>
    </row>
    <row r="269" spans="1:23" ht="19.5" customHeight="1" x14ac:dyDescent="0.25">
      <c r="A269" s="42" t="s">
        <v>224</v>
      </c>
      <c r="B269" s="42" t="s">
        <v>113</v>
      </c>
      <c r="C269" s="63">
        <f>4.1+4.2+4.1+4.1+4</f>
        <v>20.5</v>
      </c>
      <c r="D269" s="47">
        <v>5</v>
      </c>
    </row>
    <row r="270" spans="1:23" ht="19.5" customHeight="1" x14ac:dyDescent="0.25">
      <c r="A270" s="42" t="s">
        <v>39</v>
      </c>
      <c r="B270" s="42" t="s">
        <v>113</v>
      </c>
      <c r="C270" s="63">
        <f>4+4</f>
        <v>8</v>
      </c>
      <c r="D270" s="47">
        <v>2</v>
      </c>
    </row>
    <row r="271" spans="1:23" ht="19.5" customHeight="1" x14ac:dyDescent="0.25">
      <c r="A271" s="42" t="s">
        <v>632</v>
      </c>
      <c r="B271" s="42" t="s">
        <v>633</v>
      </c>
      <c r="C271" s="63">
        <f>4+4</f>
        <v>8</v>
      </c>
      <c r="D271" s="47">
        <f>1+1</f>
        <v>2</v>
      </c>
    </row>
    <row r="272" spans="1:23" ht="19.5" customHeight="1" x14ac:dyDescent="0.25">
      <c r="A272" s="42" t="s">
        <v>233</v>
      </c>
      <c r="B272" s="42" t="s">
        <v>644</v>
      </c>
      <c r="C272" s="63">
        <f>1.5</f>
        <v>1.5</v>
      </c>
      <c r="D272" s="47">
        <f>1</f>
        <v>1</v>
      </c>
    </row>
    <row r="273" spans="1:4" ht="19.5" customHeight="1" x14ac:dyDescent="0.25">
      <c r="A273" s="42" t="s">
        <v>352</v>
      </c>
      <c r="B273" s="42" t="s">
        <v>353</v>
      </c>
      <c r="C273" s="63">
        <f>4+3+2.5+4+2.5</f>
        <v>16</v>
      </c>
      <c r="D273" s="47">
        <f>1+2+2</f>
        <v>5</v>
      </c>
    </row>
    <row r="274" spans="1:4" ht="19.5" customHeight="1" x14ac:dyDescent="0.25">
      <c r="A274" s="42" t="s">
        <v>111</v>
      </c>
      <c r="B274" s="42" t="s">
        <v>581</v>
      </c>
      <c r="C274" s="63">
        <f>4+9.5</f>
        <v>13.5</v>
      </c>
      <c r="D274" s="47">
        <f>2</f>
        <v>2</v>
      </c>
    </row>
    <row r="275" spans="1:4" ht="19.5" customHeight="1" x14ac:dyDescent="0.25">
      <c r="A275" s="42" t="s">
        <v>827</v>
      </c>
      <c r="B275" s="42" t="s">
        <v>828</v>
      </c>
      <c r="C275" s="63">
        <f>2.5</f>
        <v>2.5</v>
      </c>
      <c r="D275" s="47">
        <v>1</v>
      </c>
    </row>
    <row r="276" spans="1:4" ht="19.5" customHeight="1" x14ac:dyDescent="0.25">
      <c r="A276" s="42" t="s">
        <v>210</v>
      </c>
      <c r="B276" s="42" t="s">
        <v>532</v>
      </c>
      <c r="C276" s="63">
        <f>4</f>
        <v>4</v>
      </c>
      <c r="D276" s="47">
        <v>1</v>
      </c>
    </row>
    <row r="277" spans="1:4" ht="19.5" customHeight="1" x14ac:dyDescent="0.25">
      <c r="A277" s="42" t="s">
        <v>780</v>
      </c>
      <c r="B277" s="42" t="s">
        <v>532</v>
      </c>
      <c r="C277" s="63">
        <f>4</f>
        <v>4</v>
      </c>
      <c r="D277" s="47">
        <v>1</v>
      </c>
    </row>
    <row r="278" spans="1:4" ht="19.5" customHeight="1" x14ac:dyDescent="0.25">
      <c r="A278" s="42" t="s">
        <v>531</v>
      </c>
      <c r="B278" s="42" t="s">
        <v>532</v>
      </c>
      <c r="C278" s="63">
        <f>5+8.25</f>
        <v>13.25</v>
      </c>
      <c r="D278" s="47">
        <f>1+1</f>
        <v>2</v>
      </c>
    </row>
    <row r="279" spans="1:4" ht="19.5" customHeight="1" x14ac:dyDescent="0.25">
      <c r="A279" s="42" t="s">
        <v>210</v>
      </c>
      <c r="B279" s="42" t="s">
        <v>71</v>
      </c>
      <c r="C279" s="63">
        <f>4+4+4+4+4</f>
        <v>20</v>
      </c>
      <c r="D279" s="47">
        <v>5</v>
      </c>
    </row>
    <row r="280" spans="1:4" ht="19.5" customHeight="1" x14ac:dyDescent="0.25">
      <c r="A280" s="42" t="s">
        <v>171</v>
      </c>
      <c r="B280" s="42" t="s">
        <v>71</v>
      </c>
      <c r="C280" s="63">
        <f>5+2</f>
        <v>7</v>
      </c>
      <c r="D280" s="47">
        <v>2</v>
      </c>
    </row>
    <row r="281" spans="1:4" ht="19.5" customHeight="1" x14ac:dyDescent="0.25">
      <c r="A281" s="42" t="s">
        <v>236</v>
      </c>
      <c r="B281" s="42" t="s">
        <v>71</v>
      </c>
      <c r="C281" s="63">
        <f>4</f>
        <v>4</v>
      </c>
      <c r="D281" s="47">
        <v>1</v>
      </c>
    </row>
    <row r="282" spans="1:4" ht="19.5" customHeight="1" x14ac:dyDescent="0.25">
      <c r="A282" s="42" t="s">
        <v>535</v>
      </c>
      <c r="B282" s="42" t="s">
        <v>821</v>
      </c>
      <c r="C282" s="63">
        <f>4+6+5.8+5</f>
        <v>20.8</v>
      </c>
      <c r="D282" s="47">
        <v>4</v>
      </c>
    </row>
    <row r="283" spans="1:4" ht="19.5" customHeight="1" x14ac:dyDescent="0.25">
      <c r="A283" s="42" t="s">
        <v>817</v>
      </c>
      <c r="B283" s="42" t="s">
        <v>818</v>
      </c>
      <c r="C283" s="63">
        <f>1</f>
        <v>1</v>
      </c>
      <c r="D283" s="47">
        <v>1</v>
      </c>
    </row>
    <row r="284" spans="1:4" ht="19.5" customHeight="1" x14ac:dyDescent="0.25">
      <c r="A284" s="42" t="s">
        <v>277</v>
      </c>
      <c r="B284" s="42" t="s">
        <v>656</v>
      </c>
      <c r="C284" s="63">
        <f>8+5+5+5.2</f>
        <v>23.2</v>
      </c>
      <c r="D284" s="47">
        <v>4</v>
      </c>
    </row>
    <row r="285" spans="1:4" ht="19.5" customHeight="1" x14ac:dyDescent="0.25">
      <c r="A285" s="42" t="s">
        <v>228</v>
      </c>
      <c r="B285" s="42" t="s">
        <v>1064</v>
      </c>
      <c r="C285" s="63">
        <f>4</f>
        <v>4</v>
      </c>
      <c r="D285" s="47">
        <v>1</v>
      </c>
    </row>
    <row r="286" spans="1:4" ht="19.5" customHeight="1" x14ac:dyDescent="0.25">
      <c r="A286" s="42" t="s">
        <v>526</v>
      </c>
      <c r="B286" s="42" t="s">
        <v>527</v>
      </c>
      <c r="C286" s="63">
        <f>2+4+2+2</f>
        <v>10</v>
      </c>
      <c r="D286" s="47">
        <v>4</v>
      </c>
    </row>
    <row r="287" spans="1:4" ht="19.5" customHeight="1" x14ac:dyDescent="0.25">
      <c r="A287" s="42" t="s">
        <v>431</v>
      </c>
      <c r="B287" s="42" t="s">
        <v>720</v>
      </c>
      <c r="C287" s="63">
        <f>2.5</f>
        <v>2.5</v>
      </c>
      <c r="D287" s="47">
        <v>1</v>
      </c>
    </row>
    <row r="288" spans="1:4" ht="19.5" customHeight="1" x14ac:dyDescent="0.25">
      <c r="A288" s="42" t="s">
        <v>480</v>
      </c>
      <c r="B288" s="42" t="s">
        <v>799</v>
      </c>
      <c r="C288" s="63">
        <f>5+4+2.2+4.1</f>
        <v>15.299999999999999</v>
      </c>
      <c r="D288" s="47">
        <v>4</v>
      </c>
    </row>
    <row r="289" spans="1:4" ht="19.5" customHeight="1" x14ac:dyDescent="0.25">
      <c r="A289" s="42" t="s">
        <v>367</v>
      </c>
      <c r="B289" s="42" t="s">
        <v>368</v>
      </c>
      <c r="C289" s="63">
        <f>2.5+4+2.32</f>
        <v>8.82</v>
      </c>
      <c r="D289" s="47">
        <v>3</v>
      </c>
    </row>
    <row r="290" spans="1:4" ht="19.5" customHeight="1" x14ac:dyDescent="0.25">
      <c r="A290" s="42" t="s">
        <v>791</v>
      </c>
      <c r="B290" s="42" t="s">
        <v>792</v>
      </c>
      <c r="C290" s="63">
        <f>2.4</f>
        <v>2.4</v>
      </c>
      <c r="D290" s="47">
        <v>1</v>
      </c>
    </row>
    <row r="291" spans="1:4" ht="19.5" customHeight="1" x14ac:dyDescent="0.25">
      <c r="A291" s="42" t="s">
        <v>793</v>
      </c>
      <c r="B291" s="42" t="s">
        <v>792</v>
      </c>
      <c r="C291" s="63">
        <f>2.4</f>
        <v>2.4</v>
      </c>
      <c r="D291" s="47">
        <v>1</v>
      </c>
    </row>
    <row r="292" spans="1:4" ht="19.5" customHeight="1" x14ac:dyDescent="0.25">
      <c r="A292" s="42" t="s">
        <v>144</v>
      </c>
      <c r="B292" s="42" t="s">
        <v>792</v>
      </c>
      <c r="C292" s="63">
        <f>2.4</f>
        <v>2.4</v>
      </c>
      <c r="D292" s="47">
        <v>1</v>
      </c>
    </row>
    <row r="293" spans="1:4" ht="19.5" customHeight="1" x14ac:dyDescent="0.25">
      <c r="A293" s="42" t="s">
        <v>1019</v>
      </c>
      <c r="B293" s="42" t="s">
        <v>1020</v>
      </c>
      <c r="C293" s="63">
        <f>2</f>
        <v>2</v>
      </c>
      <c r="D293" s="47">
        <v>1</v>
      </c>
    </row>
    <row r="294" spans="1:4" ht="19.5" customHeight="1" x14ac:dyDescent="0.25">
      <c r="A294" s="42" t="s">
        <v>922</v>
      </c>
      <c r="B294" s="42" t="s">
        <v>748</v>
      </c>
      <c r="C294" s="63">
        <f>7+14</f>
        <v>21</v>
      </c>
      <c r="D294" s="47">
        <v>2</v>
      </c>
    </row>
    <row r="295" spans="1:4" ht="19.5" customHeight="1" x14ac:dyDescent="0.25">
      <c r="A295" s="42" t="s">
        <v>233</v>
      </c>
      <c r="B295" s="42" t="s">
        <v>748</v>
      </c>
      <c r="C295" s="63">
        <f>15</f>
        <v>15</v>
      </c>
      <c r="D295" s="47">
        <v>1</v>
      </c>
    </row>
    <row r="296" spans="1:4" ht="19.5" customHeight="1" x14ac:dyDescent="0.25">
      <c r="A296" s="42" t="s">
        <v>36</v>
      </c>
      <c r="B296" s="42" t="s">
        <v>892</v>
      </c>
      <c r="C296" s="63">
        <f>10</f>
        <v>10</v>
      </c>
      <c r="D296" s="47">
        <v>1</v>
      </c>
    </row>
    <row r="297" spans="1:4" ht="19.5" customHeight="1" x14ac:dyDescent="0.25">
      <c r="A297" s="42" t="s">
        <v>242</v>
      </c>
      <c r="B297" s="42" t="s">
        <v>1036</v>
      </c>
      <c r="C297" s="63">
        <f>6.4</f>
        <v>6.4</v>
      </c>
      <c r="D297" s="47">
        <v>1</v>
      </c>
    </row>
    <row r="298" spans="1:4" ht="19.5" customHeight="1" x14ac:dyDescent="0.25">
      <c r="A298" s="42" t="s">
        <v>355</v>
      </c>
      <c r="B298" s="42" t="s">
        <v>273</v>
      </c>
      <c r="C298" s="63">
        <f>5</f>
        <v>5</v>
      </c>
      <c r="D298" s="47">
        <f>1</f>
        <v>1</v>
      </c>
    </row>
    <row r="299" spans="1:4" ht="19.5" customHeight="1" x14ac:dyDescent="0.25">
      <c r="A299" s="42" t="s">
        <v>491</v>
      </c>
      <c r="B299" s="42" t="s">
        <v>492</v>
      </c>
      <c r="C299" s="63">
        <f>4.5</f>
        <v>4.5</v>
      </c>
      <c r="D299" s="47">
        <f>1</f>
        <v>1</v>
      </c>
    </row>
    <row r="300" spans="1:4" ht="19.5" customHeight="1" x14ac:dyDescent="0.25">
      <c r="A300" s="42" t="s">
        <v>228</v>
      </c>
      <c r="B300" s="42" t="s">
        <v>947</v>
      </c>
      <c r="C300" s="63">
        <f>4</f>
        <v>4</v>
      </c>
      <c r="D300" s="47">
        <v>1</v>
      </c>
    </row>
    <row r="301" spans="1:4" ht="19.5" customHeight="1" x14ac:dyDescent="0.25">
      <c r="A301" s="42" t="s">
        <v>770</v>
      </c>
      <c r="B301" s="42" t="s">
        <v>816</v>
      </c>
      <c r="C301" s="63">
        <f>1</f>
        <v>1</v>
      </c>
      <c r="D301" s="47">
        <v>1</v>
      </c>
    </row>
    <row r="302" spans="1:4" ht="19.5" customHeight="1" x14ac:dyDescent="0.25">
      <c r="A302" s="42" t="s">
        <v>417</v>
      </c>
      <c r="B302" s="42" t="s">
        <v>609</v>
      </c>
      <c r="C302" s="63">
        <f>7</f>
        <v>7</v>
      </c>
      <c r="D302" s="47">
        <f>1</f>
        <v>1</v>
      </c>
    </row>
    <row r="303" spans="1:4" ht="19.5" customHeight="1" x14ac:dyDescent="0.25">
      <c r="A303" s="42" t="s">
        <v>1047</v>
      </c>
      <c r="B303" s="42" t="s">
        <v>1048</v>
      </c>
      <c r="C303" s="63">
        <f>5</f>
        <v>5</v>
      </c>
      <c r="D303" s="47">
        <v>1</v>
      </c>
    </row>
    <row r="304" spans="1:4" ht="19.5" customHeight="1" x14ac:dyDescent="0.25">
      <c r="A304" s="42" t="s">
        <v>885</v>
      </c>
      <c r="B304" s="42" t="s">
        <v>886</v>
      </c>
      <c r="C304" s="63">
        <f>2.3+2.3</f>
        <v>4.5999999999999996</v>
      </c>
      <c r="D304" s="47">
        <v>2</v>
      </c>
    </row>
    <row r="305" spans="1:4" ht="19.5" customHeight="1" x14ac:dyDescent="0.25">
      <c r="A305" s="42" t="s">
        <v>160</v>
      </c>
      <c r="B305" s="42" t="s">
        <v>161</v>
      </c>
      <c r="C305" s="63">
        <f>5+5+5+5</f>
        <v>20</v>
      </c>
      <c r="D305" s="47">
        <f>1+1+2</f>
        <v>4</v>
      </c>
    </row>
    <row r="306" spans="1:4" ht="19.5" customHeight="1" x14ac:dyDescent="0.25">
      <c r="A306" s="42" t="s">
        <v>365</v>
      </c>
      <c r="B306" s="42" t="s">
        <v>366</v>
      </c>
      <c r="C306" s="63">
        <f>2.5+2.5+2.5+5+4+3.5</f>
        <v>20</v>
      </c>
      <c r="D306" s="47">
        <v>6</v>
      </c>
    </row>
    <row r="307" spans="1:4" ht="19.5" customHeight="1" x14ac:dyDescent="0.25">
      <c r="A307" s="42" t="s">
        <v>155</v>
      </c>
      <c r="B307" s="42" t="s">
        <v>438</v>
      </c>
      <c r="C307" s="63">
        <f>4</f>
        <v>4</v>
      </c>
      <c r="D307" s="47">
        <f>1</f>
        <v>1</v>
      </c>
    </row>
    <row r="308" spans="1:4" ht="19.5" customHeight="1" x14ac:dyDescent="0.25">
      <c r="A308" s="42" t="s">
        <v>210</v>
      </c>
      <c r="B308" s="42" t="s">
        <v>276</v>
      </c>
      <c r="C308" s="63">
        <f>4</f>
        <v>4</v>
      </c>
      <c r="D308" s="47">
        <v>1</v>
      </c>
    </row>
    <row r="309" spans="1:4" ht="19.5" customHeight="1" x14ac:dyDescent="0.25">
      <c r="A309" s="42" t="s">
        <v>511</v>
      </c>
      <c r="B309" s="42" t="s">
        <v>236</v>
      </c>
      <c r="C309" s="63">
        <f>5+4</f>
        <v>9</v>
      </c>
      <c r="D309" s="47">
        <v>2</v>
      </c>
    </row>
    <row r="310" spans="1:4" ht="19.5" customHeight="1" x14ac:dyDescent="0.25">
      <c r="A310" s="42" t="s">
        <v>179</v>
      </c>
      <c r="B310" s="42" t="s">
        <v>552</v>
      </c>
      <c r="C310" s="63">
        <f>2</f>
        <v>2</v>
      </c>
      <c r="D310" s="47">
        <f>1</f>
        <v>1</v>
      </c>
    </row>
    <row r="311" spans="1:4" ht="19.5" customHeight="1" x14ac:dyDescent="0.25">
      <c r="A311" s="42" t="s">
        <v>941</v>
      </c>
      <c r="B311" s="42" t="s">
        <v>1016</v>
      </c>
      <c r="C311" s="63">
        <f>4</f>
        <v>4</v>
      </c>
      <c r="D311" s="47">
        <v>1</v>
      </c>
    </row>
    <row r="312" spans="1:4" ht="19.5" customHeight="1" x14ac:dyDescent="0.25">
      <c r="A312" s="42" t="s">
        <v>460</v>
      </c>
      <c r="B312" s="42" t="s">
        <v>461</v>
      </c>
      <c r="C312" s="63">
        <f>12.25+5+7</f>
        <v>24.25</v>
      </c>
      <c r="D312" s="47">
        <v>3</v>
      </c>
    </row>
    <row r="313" spans="1:4" ht="19.5" customHeight="1" x14ac:dyDescent="0.25">
      <c r="A313" s="42" t="s">
        <v>685</v>
      </c>
      <c r="B313" s="42" t="s">
        <v>686</v>
      </c>
      <c r="C313" s="63">
        <f>4+4</f>
        <v>8</v>
      </c>
      <c r="D313" s="47">
        <v>2</v>
      </c>
    </row>
    <row r="314" spans="1:4" ht="19.5" customHeight="1" x14ac:dyDescent="0.25">
      <c r="A314" s="42" t="s">
        <v>566</v>
      </c>
      <c r="B314" s="42" t="s">
        <v>575</v>
      </c>
      <c r="C314" s="63">
        <f>6</f>
        <v>6</v>
      </c>
      <c r="D314" s="47">
        <f>1</f>
        <v>1</v>
      </c>
    </row>
    <row r="315" spans="1:4" ht="19.5" customHeight="1" x14ac:dyDescent="0.25">
      <c r="A315" s="42" t="s">
        <v>426</v>
      </c>
      <c r="B315" s="42" t="s">
        <v>427</v>
      </c>
      <c r="C315" s="63">
        <f>5+7</f>
        <v>12</v>
      </c>
      <c r="D315" s="47">
        <v>3</v>
      </c>
    </row>
    <row r="316" spans="1:4" ht="19.5" customHeight="1" x14ac:dyDescent="0.25">
      <c r="A316" s="42" t="s">
        <v>1027</v>
      </c>
      <c r="B316" s="42" t="s">
        <v>1028</v>
      </c>
      <c r="C316" s="63">
        <f>2.5+3.1</f>
        <v>5.6</v>
      </c>
      <c r="D316" s="47">
        <v>2</v>
      </c>
    </row>
    <row r="317" spans="1:4" ht="19.5" customHeight="1" x14ac:dyDescent="0.25">
      <c r="A317" s="42" t="s">
        <v>495</v>
      </c>
      <c r="B317" s="42" t="s">
        <v>496</v>
      </c>
      <c r="C317" s="63">
        <f>4.41</f>
        <v>4.41</v>
      </c>
      <c r="D317" s="47">
        <f>1</f>
        <v>1</v>
      </c>
    </row>
    <row r="318" spans="1:4" ht="19.5" customHeight="1" x14ac:dyDescent="0.25">
      <c r="A318" s="42" t="s">
        <v>175</v>
      </c>
      <c r="B318" s="42" t="s">
        <v>950</v>
      </c>
      <c r="C318" s="63">
        <f>4+4</f>
        <v>8</v>
      </c>
      <c r="D318" s="47">
        <v>2</v>
      </c>
    </row>
    <row r="319" spans="1:4" ht="19.5" customHeight="1" x14ac:dyDescent="0.25">
      <c r="A319" s="42" t="s">
        <v>96</v>
      </c>
      <c r="B319" s="42" t="s">
        <v>1065</v>
      </c>
      <c r="C319" s="63">
        <f>4+4</f>
        <v>8</v>
      </c>
      <c r="D319" s="47">
        <v>2</v>
      </c>
    </row>
    <row r="320" spans="1:4" ht="19.5" customHeight="1" x14ac:dyDescent="0.25">
      <c r="A320" s="42" t="s">
        <v>441</v>
      </c>
      <c r="B320" s="42" t="s">
        <v>774</v>
      </c>
      <c r="C320" s="63">
        <f>5</f>
        <v>5</v>
      </c>
      <c r="D320" s="47">
        <v>1</v>
      </c>
    </row>
    <row r="321" spans="1:4" ht="19.5" customHeight="1" x14ac:dyDescent="0.25">
      <c r="A321" s="42" t="s">
        <v>430</v>
      </c>
      <c r="B321" s="42" t="s">
        <v>647</v>
      </c>
      <c r="C321" s="63">
        <f>4</f>
        <v>4</v>
      </c>
      <c r="D321" s="47">
        <f>1</f>
        <v>1</v>
      </c>
    </row>
    <row r="322" spans="1:4" ht="19.5" customHeight="1" x14ac:dyDescent="0.25">
      <c r="A322" s="42" t="s">
        <v>1066</v>
      </c>
      <c r="B322" s="42" t="s">
        <v>1067</v>
      </c>
      <c r="C322" s="63">
        <f>4</f>
        <v>4</v>
      </c>
      <c r="D322" s="47">
        <v>1</v>
      </c>
    </row>
    <row r="323" spans="1:4" ht="19.5" customHeight="1" x14ac:dyDescent="0.25">
      <c r="A323" s="42" t="s">
        <v>155</v>
      </c>
      <c r="B323" s="42" t="s">
        <v>738</v>
      </c>
      <c r="C323" s="63">
        <f>3.5</f>
        <v>3.5</v>
      </c>
      <c r="D323" s="47">
        <v>1</v>
      </c>
    </row>
    <row r="324" spans="1:4" ht="19.5" customHeight="1" x14ac:dyDescent="0.25">
      <c r="A324" s="42" t="s">
        <v>317</v>
      </c>
      <c r="B324" s="42" t="s">
        <v>318</v>
      </c>
      <c r="C324" s="63">
        <f>2.5+2.5</f>
        <v>5</v>
      </c>
      <c r="D324" s="47">
        <f>1+1</f>
        <v>2</v>
      </c>
    </row>
    <row r="325" spans="1:4" ht="19.5" customHeight="1" x14ac:dyDescent="0.25">
      <c r="A325" s="42" t="s">
        <v>970</v>
      </c>
      <c r="B325" s="42" t="s">
        <v>971</v>
      </c>
      <c r="C325" s="63">
        <f>3</f>
        <v>3</v>
      </c>
      <c r="D325" s="47">
        <v>1</v>
      </c>
    </row>
    <row r="326" spans="1:4" ht="19.5" customHeight="1" x14ac:dyDescent="0.25">
      <c r="A326" s="42" t="s">
        <v>636</v>
      </c>
      <c r="B326" s="42" t="s">
        <v>1041</v>
      </c>
      <c r="C326" s="63">
        <f>3</f>
        <v>3</v>
      </c>
      <c r="D326" s="47">
        <v>1</v>
      </c>
    </row>
    <row r="327" spans="1:4" ht="19.5" customHeight="1" x14ac:dyDescent="0.25">
      <c r="A327" s="42" t="s">
        <v>243</v>
      </c>
      <c r="B327" s="42" t="s">
        <v>189</v>
      </c>
      <c r="C327" s="63">
        <f>2.5</f>
        <v>2.5</v>
      </c>
      <c r="D327" s="47">
        <v>1</v>
      </c>
    </row>
    <row r="328" spans="1:4" ht="19.5" customHeight="1" x14ac:dyDescent="0.25">
      <c r="A328" s="42" t="s">
        <v>654</v>
      </c>
      <c r="B328" s="42" t="s">
        <v>655</v>
      </c>
      <c r="C328" s="63">
        <f>5+8+7</f>
        <v>20</v>
      </c>
      <c r="D328" s="47">
        <v>3</v>
      </c>
    </row>
    <row r="329" spans="1:4" ht="19.5" customHeight="1" x14ac:dyDescent="0.25">
      <c r="A329" s="42" t="s">
        <v>547</v>
      </c>
      <c r="B329" s="42" t="s">
        <v>1037</v>
      </c>
      <c r="C329" s="63">
        <f>2</f>
        <v>2</v>
      </c>
      <c r="D329" s="47">
        <v>1</v>
      </c>
    </row>
    <row r="330" spans="1:4" ht="19.5" customHeight="1" x14ac:dyDescent="0.25">
      <c r="A330" s="42" t="s">
        <v>838</v>
      </c>
      <c r="B330" s="42" t="s">
        <v>839</v>
      </c>
      <c r="C330" s="63">
        <f>4.6+4.8+5</f>
        <v>14.399999999999999</v>
      </c>
      <c r="D330" s="47">
        <v>3</v>
      </c>
    </row>
    <row r="331" spans="1:4" ht="19.5" customHeight="1" x14ac:dyDescent="0.25">
      <c r="A331" s="42" t="s">
        <v>392</v>
      </c>
      <c r="B331" s="42" t="s">
        <v>393</v>
      </c>
      <c r="C331" s="63">
        <f>4</f>
        <v>4</v>
      </c>
      <c r="D331" s="47">
        <f>1</f>
        <v>1</v>
      </c>
    </row>
    <row r="332" spans="1:4" ht="19.5" customHeight="1" x14ac:dyDescent="0.25">
      <c r="A332" s="42" t="s">
        <v>232</v>
      </c>
      <c r="B332" s="42" t="s">
        <v>744</v>
      </c>
      <c r="C332" s="63">
        <f>7+7+7</f>
        <v>21</v>
      </c>
      <c r="D332" s="47">
        <v>3</v>
      </c>
    </row>
    <row r="333" spans="1:4" ht="19.5" customHeight="1" x14ac:dyDescent="0.25">
      <c r="A333" s="42" t="s">
        <v>1071</v>
      </c>
      <c r="B333" s="42" t="s">
        <v>1072</v>
      </c>
      <c r="C333" s="63">
        <v>5</v>
      </c>
      <c r="D333" s="47">
        <v>1</v>
      </c>
    </row>
    <row r="334" spans="1:4" ht="19.5" customHeight="1" x14ac:dyDescent="0.25">
      <c r="A334" s="42" t="s">
        <v>533</v>
      </c>
      <c r="B334" s="42" t="s">
        <v>534</v>
      </c>
      <c r="C334" s="63">
        <f>4</f>
        <v>4</v>
      </c>
      <c r="D334" s="47">
        <f>1</f>
        <v>1</v>
      </c>
    </row>
    <row r="335" spans="1:4" ht="19.5" customHeight="1" x14ac:dyDescent="0.25">
      <c r="A335" s="42" t="s">
        <v>285</v>
      </c>
      <c r="B335" s="42" t="s">
        <v>382</v>
      </c>
      <c r="C335" s="63">
        <f>4</f>
        <v>4</v>
      </c>
      <c r="D335" s="47">
        <f>1</f>
        <v>1</v>
      </c>
    </row>
    <row r="336" spans="1:4" ht="19.5" customHeight="1" x14ac:dyDescent="0.25">
      <c r="A336" s="42" t="s">
        <v>473</v>
      </c>
      <c r="B336" s="42" t="s">
        <v>1026</v>
      </c>
      <c r="C336" s="63">
        <f>2.5</f>
        <v>2.5</v>
      </c>
      <c r="D336" s="47">
        <v>1</v>
      </c>
    </row>
    <row r="337" spans="1:4" ht="19.5" customHeight="1" x14ac:dyDescent="0.25">
      <c r="A337" s="42" t="s">
        <v>489</v>
      </c>
      <c r="B337" s="42" t="s">
        <v>490</v>
      </c>
      <c r="C337" s="63">
        <f>4.5</f>
        <v>4.5</v>
      </c>
      <c r="D337" s="47">
        <f>1</f>
        <v>1</v>
      </c>
    </row>
    <row r="338" spans="1:4" ht="19.5" customHeight="1" x14ac:dyDescent="0.25">
      <c r="A338" s="42" t="s">
        <v>194</v>
      </c>
      <c r="B338" s="42" t="s">
        <v>819</v>
      </c>
      <c r="C338" s="63">
        <f>2.5</f>
        <v>2.5</v>
      </c>
      <c r="D338" s="47">
        <v>1</v>
      </c>
    </row>
    <row r="339" spans="1:4" ht="19.5" customHeight="1" x14ac:dyDescent="0.25">
      <c r="A339" s="42" t="s">
        <v>70</v>
      </c>
      <c r="B339" s="42" t="s">
        <v>819</v>
      </c>
      <c r="C339" s="63">
        <f>4+4</f>
        <v>8</v>
      </c>
      <c r="D339" s="47">
        <v>2</v>
      </c>
    </row>
    <row r="340" spans="1:4" ht="19.5" customHeight="1" x14ac:dyDescent="0.25">
      <c r="A340" s="42" t="s">
        <v>402</v>
      </c>
      <c r="B340" s="42" t="s">
        <v>687</v>
      </c>
      <c r="C340" s="63">
        <f>5</f>
        <v>5</v>
      </c>
      <c r="D340" s="47">
        <v>1</v>
      </c>
    </row>
    <row r="341" spans="1:4" ht="19.5" customHeight="1" x14ac:dyDescent="0.25">
      <c r="A341" s="42" t="s">
        <v>698</v>
      </c>
      <c r="B341" s="42" t="s">
        <v>687</v>
      </c>
      <c r="C341" s="63">
        <f>4</f>
        <v>4</v>
      </c>
      <c r="D341" s="47">
        <v>1</v>
      </c>
    </row>
    <row r="342" spans="1:4" ht="19.5" customHeight="1" x14ac:dyDescent="0.25">
      <c r="A342" s="42" t="s">
        <v>285</v>
      </c>
      <c r="B342" s="42" t="s">
        <v>751</v>
      </c>
      <c r="C342" s="63">
        <f>7</f>
        <v>7</v>
      </c>
      <c r="D342" s="47">
        <v>1</v>
      </c>
    </row>
    <row r="343" spans="1:4" ht="19.5" customHeight="1" x14ac:dyDescent="0.25">
      <c r="A343" s="42" t="s">
        <v>81</v>
      </c>
      <c r="B343" s="42" t="s">
        <v>390</v>
      </c>
      <c r="C343" s="63">
        <f>4+4+4+2.5+4</f>
        <v>18.5</v>
      </c>
      <c r="D343" s="47">
        <f>1+1+1+1+1</f>
        <v>5</v>
      </c>
    </row>
    <row r="344" spans="1:4" ht="19.5" customHeight="1" x14ac:dyDescent="0.25">
      <c r="A344" s="42" t="s">
        <v>104</v>
      </c>
      <c r="B344" s="42" t="s">
        <v>684</v>
      </c>
      <c r="C344" s="63">
        <f>3.5</f>
        <v>3.5</v>
      </c>
      <c r="D344" s="47">
        <v>1</v>
      </c>
    </row>
    <row r="345" spans="1:4" ht="19.5" customHeight="1" x14ac:dyDescent="0.25">
      <c r="A345" s="42" t="s">
        <v>770</v>
      </c>
      <c r="B345" s="42" t="s">
        <v>771</v>
      </c>
      <c r="C345" s="63">
        <f>4+4+4</f>
        <v>12</v>
      </c>
      <c r="D345" s="47">
        <v>3</v>
      </c>
    </row>
    <row r="346" spans="1:4" ht="19.5" customHeight="1" x14ac:dyDescent="0.25">
      <c r="A346" s="42" t="s">
        <v>430</v>
      </c>
      <c r="B346" s="42" t="s">
        <v>969</v>
      </c>
      <c r="C346" s="63">
        <f>2</f>
        <v>2</v>
      </c>
      <c r="D346" s="47">
        <v>1</v>
      </c>
    </row>
    <row r="347" spans="1:4" ht="19.5" customHeight="1" x14ac:dyDescent="0.25">
      <c r="A347" s="42" t="s">
        <v>414</v>
      </c>
      <c r="B347" s="42" t="s">
        <v>844</v>
      </c>
      <c r="C347" s="63">
        <f>5.5</f>
        <v>5.5</v>
      </c>
      <c r="D347" s="47">
        <v>1</v>
      </c>
    </row>
    <row r="348" spans="1:4" ht="19.5" customHeight="1" x14ac:dyDescent="0.25">
      <c r="A348" s="42" t="s">
        <v>431</v>
      </c>
      <c r="B348" s="42" t="s">
        <v>742</v>
      </c>
      <c r="C348" s="63">
        <f>14</f>
        <v>14</v>
      </c>
      <c r="D348" s="47">
        <v>1</v>
      </c>
    </row>
    <row r="349" spans="1:4" ht="19.5" customHeight="1" x14ac:dyDescent="0.25">
      <c r="A349" s="42" t="s">
        <v>169</v>
      </c>
      <c r="B349" s="42" t="s">
        <v>170</v>
      </c>
      <c r="C349" s="63">
        <f>2</f>
        <v>2</v>
      </c>
      <c r="D349" s="47">
        <f>1</f>
        <v>1</v>
      </c>
    </row>
    <row r="350" spans="1:4" ht="19.5" customHeight="1" x14ac:dyDescent="0.25">
      <c r="A350" s="42" t="s">
        <v>561</v>
      </c>
      <c r="B350" s="42" t="s">
        <v>323</v>
      </c>
      <c r="C350" s="63">
        <f>3+4</f>
        <v>7</v>
      </c>
      <c r="D350" s="47">
        <v>2</v>
      </c>
    </row>
    <row r="351" spans="1:4" ht="19.5" customHeight="1" x14ac:dyDescent="0.25">
      <c r="A351" s="42" t="s">
        <v>345</v>
      </c>
      <c r="B351" s="42" t="s">
        <v>323</v>
      </c>
      <c r="C351" s="63">
        <f>5</f>
        <v>5</v>
      </c>
      <c r="D351" s="47">
        <f>1</f>
        <v>1</v>
      </c>
    </row>
    <row r="352" spans="1:4" ht="19.5" customHeight="1" x14ac:dyDescent="0.25">
      <c r="A352" s="42" t="s">
        <v>473</v>
      </c>
      <c r="B352" s="42" t="s">
        <v>1050</v>
      </c>
      <c r="C352" s="63">
        <f>3.1</f>
        <v>3.1</v>
      </c>
      <c r="D352" s="47">
        <v>1</v>
      </c>
    </row>
    <row r="353" spans="1:4" ht="19.5" customHeight="1" x14ac:dyDescent="0.25">
      <c r="A353" s="42" t="s">
        <v>945</v>
      </c>
      <c r="B353" s="42" t="s">
        <v>946</v>
      </c>
      <c r="C353" s="63">
        <f>5</f>
        <v>5</v>
      </c>
      <c r="D353" s="47">
        <v>1</v>
      </c>
    </row>
    <row r="354" spans="1:4" ht="19.5" customHeight="1" x14ac:dyDescent="0.25">
      <c r="A354" s="42" t="s">
        <v>804</v>
      </c>
      <c r="B354" s="42" t="s">
        <v>805</v>
      </c>
      <c r="C354" s="63">
        <f>9+8</f>
        <v>17</v>
      </c>
      <c r="D354" s="47">
        <v>2</v>
      </c>
    </row>
    <row r="355" spans="1:4" ht="19.5" customHeight="1" x14ac:dyDescent="0.25">
      <c r="A355" s="42" t="s">
        <v>76</v>
      </c>
      <c r="B355" s="42" t="s">
        <v>528</v>
      </c>
      <c r="C355" s="63">
        <f>4</f>
        <v>4</v>
      </c>
      <c r="D355" s="47">
        <f>1</f>
        <v>1</v>
      </c>
    </row>
    <row r="356" spans="1:4" ht="19.5" customHeight="1" x14ac:dyDescent="0.25">
      <c r="A356" s="42" t="s">
        <v>242</v>
      </c>
      <c r="B356" s="42" t="s">
        <v>416</v>
      </c>
      <c r="C356" s="63">
        <f>3.5+3.5+3.5+2.5</f>
        <v>13</v>
      </c>
      <c r="D356" s="47">
        <v>4</v>
      </c>
    </row>
    <row r="357" spans="1:4" ht="19.5" customHeight="1" x14ac:dyDescent="0.25">
      <c r="A357" s="42" t="s">
        <v>417</v>
      </c>
      <c r="B357" s="42" t="s">
        <v>416</v>
      </c>
      <c r="C357" s="63">
        <f>3.5+3.5</f>
        <v>7</v>
      </c>
      <c r="D357" s="47">
        <v>2</v>
      </c>
    </row>
    <row r="358" spans="1:4" ht="19.5" customHeight="1" x14ac:dyDescent="0.25">
      <c r="A358" s="42" t="s">
        <v>224</v>
      </c>
      <c r="B358" s="42" t="s">
        <v>347</v>
      </c>
      <c r="C358" s="63">
        <f>10</f>
        <v>10</v>
      </c>
      <c r="D358" s="47">
        <f>1</f>
        <v>1</v>
      </c>
    </row>
    <row r="359" spans="1:4" ht="19.5" customHeight="1" x14ac:dyDescent="0.25">
      <c r="A359" s="42" t="s">
        <v>676</v>
      </c>
      <c r="B359" s="42" t="s">
        <v>919</v>
      </c>
      <c r="C359" s="63">
        <f>4+5</f>
        <v>9</v>
      </c>
      <c r="D359" s="47">
        <v>2</v>
      </c>
    </row>
    <row r="360" spans="1:4" ht="19.5" customHeight="1" x14ac:dyDescent="0.25">
      <c r="A360" s="42" t="s">
        <v>535</v>
      </c>
      <c r="B360" s="42" t="s">
        <v>536</v>
      </c>
      <c r="C360" s="63">
        <f>5</f>
        <v>5</v>
      </c>
      <c r="D360" s="47">
        <f>1</f>
        <v>1</v>
      </c>
    </row>
    <row r="361" spans="1:4" ht="19.5" customHeight="1" x14ac:dyDescent="0.25">
      <c r="A361" s="42" t="s">
        <v>941</v>
      </c>
      <c r="B361" s="42" t="s">
        <v>942</v>
      </c>
      <c r="C361" s="63">
        <f>2</f>
        <v>2</v>
      </c>
      <c r="D361" s="47">
        <v>1</v>
      </c>
    </row>
    <row r="362" spans="1:4" ht="19.5" customHeight="1" x14ac:dyDescent="0.25">
      <c r="A362" s="42" t="s">
        <v>840</v>
      </c>
      <c r="B362" s="42" t="s">
        <v>841</v>
      </c>
      <c r="C362" s="63">
        <f>5</f>
        <v>5</v>
      </c>
      <c r="D362" s="47">
        <v>1</v>
      </c>
    </row>
    <row r="363" spans="1:4" ht="19.5" customHeight="1" x14ac:dyDescent="0.25">
      <c r="A363" s="42" t="s">
        <v>688</v>
      </c>
      <c r="B363" s="42" t="s">
        <v>689</v>
      </c>
      <c r="C363" s="63">
        <f>5</f>
        <v>5</v>
      </c>
      <c r="D363" s="47">
        <v>1</v>
      </c>
    </row>
    <row r="364" spans="1:4" ht="19.5" customHeight="1" x14ac:dyDescent="0.25">
      <c r="A364" s="42" t="s">
        <v>497</v>
      </c>
      <c r="B364" s="42" t="s">
        <v>498</v>
      </c>
      <c r="C364" s="63">
        <f>4.41</f>
        <v>4.41</v>
      </c>
      <c r="D364" s="47">
        <f>1</f>
        <v>1</v>
      </c>
    </row>
    <row r="365" spans="1:4" ht="19.5" customHeight="1" x14ac:dyDescent="0.25">
      <c r="A365" s="42" t="s">
        <v>934</v>
      </c>
      <c r="B365" s="42" t="s">
        <v>935</v>
      </c>
      <c r="C365" s="63">
        <f>4</f>
        <v>4</v>
      </c>
      <c r="D365" s="47">
        <v>1</v>
      </c>
    </row>
    <row r="366" spans="1:4" ht="19.5" customHeight="1" x14ac:dyDescent="0.25">
      <c r="A366" s="42" t="s">
        <v>410</v>
      </c>
      <c r="B366" s="42" t="s">
        <v>411</v>
      </c>
      <c r="C366" s="63">
        <v>8</v>
      </c>
      <c r="D366" s="47">
        <f>1</f>
        <v>1</v>
      </c>
    </row>
    <row r="367" spans="1:4" ht="19.5" customHeight="1" x14ac:dyDescent="0.25">
      <c r="A367" s="42" t="s">
        <v>334</v>
      </c>
      <c r="B367" s="42" t="s">
        <v>335</v>
      </c>
      <c r="C367" s="65">
        <f>4.5</f>
        <v>4.5</v>
      </c>
      <c r="D367" s="47">
        <f>1</f>
        <v>1</v>
      </c>
    </row>
    <row r="368" spans="1:4" ht="19.5" customHeight="1" x14ac:dyDescent="0.25">
      <c r="A368" s="42" t="s">
        <v>128</v>
      </c>
      <c r="B368" s="42" t="s">
        <v>425</v>
      </c>
      <c r="C368" s="63">
        <f>5</f>
        <v>5</v>
      </c>
      <c r="D368" s="47">
        <f>1</f>
        <v>1</v>
      </c>
    </row>
    <row r="369" spans="1:4" ht="19.5" customHeight="1" x14ac:dyDescent="0.25">
      <c r="A369" s="42" t="s">
        <v>836</v>
      </c>
      <c r="B369" s="42" t="s">
        <v>837</v>
      </c>
      <c r="C369" s="63">
        <f>5+5+6+6</f>
        <v>22</v>
      </c>
      <c r="D369" s="47">
        <v>4</v>
      </c>
    </row>
    <row r="370" spans="1:4" ht="19.5" customHeight="1" x14ac:dyDescent="0.25">
      <c r="A370" s="42" t="s">
        <v>24</v>
      </c>
      <c r="B370" s="42" t="s">
        <v>908</v>
      </c>
      <c r="C370" s="63">
        <f>8+8</f>
        <v>16</v>
      </c>
      <c r="D370" s="47">
        <v>2</v>
      </c>
    </row>
    <row r="371" spans="1:4" ht="19.5" customHeight="1" x14ac:dyDescent="0.25">
      <c r="A371" s="42" t="s">
        <v>133</v>
      </c>
      <c r="B371" s="42" t="s">
        <v>998</v>
      </c>
      <c r="C371" s="63">
        <f>7+7+7</f>
        <v>21</v>
      </c>
      <c r="D371" s="47">
        <v>3</v>
      </c>
    </row>
    <row r="372" spans="1:4" ht="19.5" customHeight="1" x14ac:dyDescent="0.25">
      <c r="A372" s="42" t="s">
        <v>493</v>
      </c>
      <c r="B372" s="42" t="s">
        <v>494</v>
      </c>
      <c r="C372" s="63">
        <f>4.5</f>
        <v>4.5</v>
      </c>
      <c r="D372" s="47">
        <f>1</f>
        <v>1</v>
      </c>
    </row>
    <row r="373" spans="1:4" ht="19.5" customHeight="1" x14ac:dyDescent="0.25">
      <c r="A373" s="42" t="s">
        <v>787</v>
      </c>
      <c r="B373" s="42" t="s">
        <v>788</v>
      </c>
      <c r="C373" s="63">
        <f>2</f>
        <v>2</v>
      </c>
      <c r="D373" s="47">
        <v>1</v>
      </c>
    </row>
    <row r="374" spans="1:4" ht="19.5" customHeight="1" x14ac:dyDescent="0.25">
      <c r="A374" s="42" t="s">
        <v>26</v>
      </c>
      <c r="B374" s="42" t="s">
        <v>914</v>
      </c>
      <c r="C374" s="63">
        <f>4</f>
        <v>4</v>
      </c>
      <c r="D374" s="47">
        <v>1</v>
      </c>
    </row>
    <row r="375" spans="1:4" ht="19.5" customHeight="1" x14ac:dyDescent="0.25">
      <c r="A375" s="42" t="s">
        <v>985</v>
      </c>
      <c r="B375" s="42" t="s">
        <v>1001</v>
      </c>
      <c r="C375" s="63">
        <f>2.3+2</f>
        <v>4.3</v>
      </c>
      <c r="D375" s="47">
        <v>2</v>
      </c>
    </row>
    <row r="376" spans="1:4" ht="19.5" customHeight="1" x14ac:dyDescent="0.25">
      <c r="A376" s="42" t="s">
        <v>987</v>
      </c>
      <c r="B376" s="42" t="s">
        <v>988</v>
      </c>
      <c r="C376" s="63">
        <f>5+6+9</f>
        <v>20</v>
      </c>
      <c r="D376" s="47">
        <v>3</v>
      </c>
    </row>
    <row r="377" spans="1:4" ht="19.5" customHeight="1" x14ac:dyDescent="0.25">
      <c r="A377" s="42" t="s">
        <v>233</v>
      </c>
      <c r="B377" s="42" t="s">
        <v>930</v>
      </c>
      <c r="C377" s="63">
        <f>3+4+3+4</f>
        <v>14</v>
      </c>
      <c r="D377" s="47">
        <v>4</v>
      </c>
    </row>
    <row r="378" spans="1:4" ht="19.5" customHeight="1" x14ac:dyDescent="0.25">
      <c r="A378" s="42" t="s">
        <v>39</v>
      </c>
      <c r="B378" s="42" t="s">
        <v>455</v>
      </c>
      <c r="C378" s="63">
        <f>9.75+7</f>
        <v>16.75</v>
      </c>
      <c r="D378" s="47">
        <v>2</v>
      </c>
    </row>
    <row r="379" spans="1:4" ht="19.5" customHeight="1" x14ac:dyDescent="0.25">
      <c r="A379" s="42" t="s">
        <v>149</v>
      </c>
      <c r="B379" s="42" t="s">
        <v>747</v>
      </c>
      <c r="C379" s="63">
        <f>7+5+12</f>
        <v>24</v>
      </c>
      <c r="D379" s="47">
        <v>3</v>
      </c>
    </row>
    <row r="380" spans="1:4" ht="19.5" customHeight="1" x14ac:dyDescent="0.25">
      <c r="A380" s="42" t="s">
        <v>187</v>
      </c>
      <c r="B380" s="42" t="s">
        <v>756</v>
      </c>
      <c r="C380" s="63">
        <f>5.5+4.5+5</f>
        <v>15</v>
      </c>
      <c r="D380" s="47">
        <v>3</v>
      </c>
    </row>
    <row r="381" spans="1:4" ht="19.5" customHeight="1" x14ac:dyDescent="0.25">
      <c r="A381" s="42" t="s">
        <v>480</v>
      </c>
      <c r="B381" s="42" t="s">
        <v>481</v>
      </c>
      <c r="C381" s="63">
        <f>5+5+5</f>
        <v>15</v>
      </c>
      <c r="D381" s="47">
        <v>3</v>
      </c>
    </row>
    <row r="382" spans="1:4" ht="19.5" customHeight="1" x14ac:dyDescent="0.25">
      <c r="A382" s="42" t="s">
        <v>278</v>
      </c>
      <c r="B382" s="42" t="s">
        <v>370</v>
      </c>
      <c r="C382" s="63">
        <f>3.2+4+2.25</f>
        <v>9.4499999999999993</v>
      </c>
      <c r="D382" s="47">
        <v>3</v>
      </c>
    </row>
    <row r="383" spans="1:4" ht="19.5" customHeight="1" x14ac:dyDescent="0.25">
      <c r="A383" s="42" t="s">
        <v>730</v>
      </c>
      <c r="B383" s="42" t="s">
        <v>750</v>
      </c>
      <c r="C383" s="63">
        <f>7</f>
        <v>7</v>
      </c>
      <c r="D383" s="47">
        <v>1</v>
      </c>
    </row>
    <row r="384" spans="1:4" ht="19.5" customHeight="1" x14ac:dyDescent="0.25">
      <c r="A384" s="42" t="s">
        <v>637</v>
      </c>
      <c r="B384" s="42" t="s">
        <v>643</v>
      </c>
      <c r="C384" s="63">
        <f>6</f>
        <v>6</v>
      </c>
      <c r="D384" s="47">
        <f>1</f>
        <v>1</v>
      </c>
    </row>
    <row r="385" spans="1:4" ht="19.5" customHeight="1" x14ac:dyDescent="0.25">
      <c r="A385" s="42" t="s">
        <v>1054</v>
      </c>
      <c r="B385" s="42" t="s">
        <v>1055</v>
      </c>
      <c r="C385" s="63">
        <f>2.5+4</f>
        <v>6.5</v>
      </c>
      <c r="D385" s="47">
        <v>1</v>
      </c>
    </row>
    <row r="386" spans="1:4" ht="19.5" customHeight="1" x14ac:dyDescent="0.25">
      <c r="A386" s="42" t="s">
        <v>47</v>
      </c>
      <c r="B386" s="42" t="s">
        <v>362</v>
      </c>
      <c r="C386" s="63">
        <f>2.5</f>
        <v>2.5</v>
      </c>
      <c r="D386" s="47">
        <f>1</f>
        <v>1</v>
      </c>
    </row>
    <row r="387" spans="1:4" ht="19.5" customHeight="1" x14ac:dyDescent="0.25">
      <c r="A387" s="42" t="s">
        <v>962</v>
      </c>
      <c r="B387" s="42" t="s">
        <v>963</v>
      </c>
      <c r="C387" s="63">
        <f>5</f>
        <v>5</v>
      </c>
      <c r="D387" s="47">
        <v>1</v>
      </c>
    </row>
    <row r="388" spans="1:4" ht="19.5" customHeight="1" x14ac:dyDescent="0.25">
      <c r="A388" s="42" t="s">
        <v>428</v>
      </c>
      <c r="B388" s="42" t="s">
        <v>506</v>
      </c>
      <c r="C388" s="63">
        <f>4.8</f>
        <v>4.8</v>
      </c>
      <c r="D388" s="47">
        <f>1</f>
        <v>1</v>
      </c>
    </row>
    <row r="389" spans="1:4" ht="19.5" customHeight="1" x14ac:dyDescent="0.25">
      <c r="A389" s="42" t="s">
        <v>936</v>
      </c>
      <c r="B389" s="42" t="s">
        <v>937</v>
      </c>
      <c r="C389" s="63">
        <f>2</f>
        <v>2</v>
      </c>
      <c r="D389" s="47">
        <v>1</v>
      </c>
    </row>
    <row r="390" spans="1:4" ht="19.5" customHeight="1" x14ac:dyDescent="0.25">
      <c r="A390" s="42" t="s">
        <v>15</v>
      </c>
      <c r="B390" s="42" t="s">
        <v>601</v>
      </c>
      <c r="C390" s="63">
        <f>4</f>
        <v>4</v>
      </c>
      <c r="D390" s="47">
        <f>1</f>
        <v>1</v>
      </c>
    </row>
    <row r="391" spans="1:4" ht="19.5" customHeight="1" x14ac:dyDescent="0.25">
      <c r="A391" s="42" t="s">
        <v>217</v>
      </c>
      <c r="B391" s="42" t="s">
        <v>592</v>
      </c>
      <c r="C391" s="63">
        <f>5+6</f>
        <v>11</v>
      </c>
      <c r="D391" s="47">
        <f>1+1</f>
        <v>2</v>
      </c>
    </row>
    <row r="392" spans="1:4" ht="19.5" customHeight="1" x14ac:dyDescent="0.25">
      <c r="A392" s="42" t="s">
        <v>725</v>
      </c>
      <c r="B392" s="42" t="s">
        <v>739</v>
      </c>
      <c r="C392" s="63">
        <f>3.5</f>
        <v>3.5</v>
      </c>
      <c r="D392" s="47">
        <v>1</v>
      </c>
    </row>
    <row r="393" spans="1:4" ht="19.5" customHeight="1" x14ac:dyDescent="0.25">
      <c r="A393" s="42" t="s">
        <v>339</v>
      </c>
      <c r="B393" s="42" t="s">
        <v>338</v>
      </c>
      <c r="C393" s="63">
        <f>3.1</f>
        <v>3.1</v>
      </c>
      <c r="D393" s="47">
        <f>1</f>
        <v>1</v>
      </c>
    </row>
    <row r="394" spans="1:4" ht="19.5" customHeight="1" x14ac:dyDescent="0.25">
      <c r="A394" s="42" t="s">
        <v>135</v>
      </c>
      <c r="B394" s="42" t="s">
        <v>931</v>
      </c>
      <c r="C394" s="63">
        <f>3.2+4+3+3</f>
        <v>13.2</v>
      </c>
      <c r="D394" s="47">
        <v>4</v>
      </c>
    </row>
    <row r="395" spans="1:4" ht="19.5" customHeight="1" x14ac:dyDescent="0.25">
      <c r="A395" s="42" t="s">
        <v>682</v>
      </c>
      <c r="B395" s="42" t="s">
        <v>683</v>
      </c>
      <c r="C395" s="63">
        <f>4+4</f>
        <v>8</v>
      </c>
      <c r="D395" s="47">
        <v>2</v>
      </c>
    </row>
    <row r="396" spans="1:4" ht="19.5" customHeight="1" x14ac:dyDescent="0.25">
      <c r="A396" s="42" t="s">
        <v>155</v>
      </c>
      <c r="B396" s="42" t="s">
        <v>181</v>
      </c>
      <c r="C396" s="63">
        <f>6+5+5+5</f>
        <v>21</v>
      </c>
      <c r="D396" s="47">
        <f>1+1+1+1</f>
        <v>4</v>
      </c>
    </row>
    <row r="397" spans="1:4" ht="19.5" customHeight="1" x14ac:dyDescent="0.25">
      <c r="A397" s="42" t="s">
        <v>311</v>
      </c>
      <c r="B397" s="42" t="s">
        <v>312</v>
      </c>
      <c r="C397" s="65">
        <f>2.5+3</f>
        <v>5.5</v>
      </c>
      <c r="D397" s="47">
        <f>1+1</f>
        <v>2</v>
      </c>
    </row>
    <row r="398" spans="1:4" ht="19.5" customHeight="1" x14ac:dyDescent="0.25">
      <c r="A398" s="42" t="s">
        <v>406</v>
      </c>
      <c r="B398" s="42" t="s">
        <v>786</v>
      </c>
      <c r="C398" s="63">
        <f>4</f>
        <v>4</v>
      </c>
      <c r="D398" s="47">
        <v>1</v>
      </c>
    </row>
    <row r="399" spans="1:4" ht="19.5" customHeight="1" x14ac:dyDescent="0.25">
      <c r="A399" s="42" t="s">
        <v>236</v>
      </c>
      <c r="B399" s="42" t="s">
        <v>222</v>
      </c>
      <c r="C399" s="63">
        <f>4</f>
        <v>4</v>
      </c>
      <c r="D399" s="47">
        <v>1</v>
      </c>
    </row>
    <row r="400" spans="1:4" ht="19.5" customHeight="1" x14ac:dyDescent="0.25">
      <c r="A400" s="42" t="s">
        <v>546</v>
      </c>
      <c r="B400" s="42" t="s">
        <v>550</v>
      </c>
      <c r="C400" s="63">
        <f>5+10</f>
        <v>15</v>
      </c>
      <c r="D400" s="47">
        <v>2</v>
      </c>
    </row>
    <row r="401" spans="1:4" ht="19.5" customHeight="1" x14ac:dyDescent="0.25">
      <c r="A401" s="42" t="s">
        <v>920</v>
      </c>
      <c r="B401" s="42" t="s">
        <v>921</v>
      </c>
      <c r="C401" s="63">
        <f>2</f>
        <v>2</v>
      </c>
      <c r="D401" s="47">
        <v>1</v>
      </c>
    </row>
    <row r="402" spans="1:4" ht="19.5" customHeight="1" x14ac:dyDescent="0.25">
      <c r="A402" s="42" t="s">
        <v>814</v>
      </c>
      <c r="B402" s="42" t="s">
        <v>815</v>
      </c>
      <c r="C402" s="63">
        <f>2+2+2+4+3+2</f>
        <v>15</v>
      </c>
      <c r="D402" s="47">
        <v>6</v>
      </c>
    </row>
    <row r="403" spans="1:4" ht="19.5" customHeight="1" x14ac:dyDescent="0.25">
      <c r="A403" s="42" t="s">
        <v>714</v>
      </c>
      <c r="B403" s="42" t="s">
        <v>715</v>
      </c>
      <c r="C403" s="63">
        <f>4+4+4+4</f>
        <v>16</v>
      </c>
      <c r="D403" s="47">
        <v>4</v>
      </c>
    </row>
    <row r="404" spans="1:4" ht="19.5" customHeight="1" x14ac:dyDescent="0.25">
      <c r="A404" s="42" t="s">
        <v>542</v>
      </c>
      <c r="B404" s="42" t="s">
        <v>543</v>
      </c>
      <c r="C404" s="63">
        <f>2.5+4.5+3.5+4</f>
        <v>14.5</v>
      </c>
      <c r="D404" s="47">
        <v>4</v>
      </c>
    </row>
    <row r="405" spans="1:4" ht="19.5" customHeight="1" x14ac:dyDescent="0.25">
      <c r="A405" s="42" t="s">
        <v>224</v>
      </c>
      <c r="B405" s="42" t="s">
        <v>1063</v>
      </c>
      <c r="C405" s="63">
        <f>3</f>
        <v>3</v>
      </c>
      <c r="D405" s="47">
        <v>1</v>
      </c>
    </row>
    <row r="406" spans="1:4" ht="19.5" customHeight="1" x14ac:dyDescent="0.25">
      <c r="A406" s="42" t="s">
        <v>236</v>
      </c>
      <c r="B406" s="42" t="s">
        <v>757</v>
      </c>
      <c r="C406" s="63">
        <f>12+12</f>
        <v>24</v>
      </c>
      <c r="D406" s="47">
        <v>2</v>
      </c>
    </row>
    <row r="407" spans="1:4" ht="19.5" customHeight="1" x14ac:dyDescent="0.25">
      <c r="A407" s="42" t="s">
        <v>1033</v>
      </c>
      <c r="B407" s="42" t="s">
        <v>1034</v>
      </c>
      <c r="C407" s="63">
        <f>2.5+2.5</f>
        <v>5</v>
      </c>
      <c r="D407" s="47">
        <v>2</v>
      </c>
    </row>
    <row r="408" spans="1:4" ht="19.5" customHeight="1" x14ac:dyDescent="0.25">
      <c r="A408" s="42" t="s">
        <v>179</v>
      </c>
      <c r="B408" s="42" t="s">
        <v>638</v>
      </c>
      <c r="C408" s="63">
        <f>4+2.5</f>
        <v>6.5</v>
      </c>
      <c r="D408" s="47">
        <f>1+1</f>
        <v>2</v>
      </c>
    </row>
    <row r="409" spans="1:4" ht="19.5" customHeight="1" x14ac:dyDescent="0.25">
      <c r="A409" s="42" t="s">
        <v>636</v>
      </c>
      <c r="B409" s="42" t="s">
        <v>638</v>
      </c>
      <c r="C409" s="63">
        <f>4+2.5</f>
        <v>6.5</v>
      </c>
      <c r="D409" s="47">
        <f>1+1</f>
        <v>2</v>
      </c>
    </row>
    <row r="535" spans="1:4" ht="19.5" customHeight="1" x14ac:dyDescent="0.25">
      <c r="A535" s="42"/>
      <c r="B535" s="42"/>
      <c r="C535" s="45"/>
      <c r="D535" s="41"/>
    </row>
    <row r="536" spans="1:4" ht="19.5" customHeight="1" x14ac:dyDescent="0.25">
      <c r="A536" s="42"/>
      <c r="B536" s="42"/>
      <c r="C536" s="45"/>
      <c r="D536" s="41"/>
    </row>
    <row r="537" spans="1:4" ht="19.5" customHeight="1" x14ac:dyDescent="0.25">
      <c r="A537" s="42"/>
      <c r="B537" s="42"/>
      <c r="C537" s="45"/>
      <c r="D537" s="41"/>
    </row>
    <row r="538" spans="1:4" ht="19.5" customHeight="1" x14ac:dyDescent="0.25">
      <c r="A538" s="42"/>
      <c r="B538" s="42"/>
      <c r="C538" s="45"/>
      <c r="D538" s="41"/>
    </row>
    <row r="539" spans="1:4" ht="19.5" customHeight="1" x14ac:dyDescent="0.25">
      <c r="A539" s="42"/>
      <c r="B539" s="42"/>
      <c r="C539" s="45"/>
      <c r="D539" s="41"/>
    </row>
    <row r="540" spans="1:4" ht="19.5" customHeight="1" x14ac:dyDescent="0.25">
      <c r="A540" s="42"/>
      <c r="B540" s="42"/>
      <c r="C540" s="45"/>
      <c r="D540" s="41"/>
    </row>
    <row r="541" spans="1:4" ht="19.5" customHeight="1" x14ac:dyDescent="0.25">
      <c r="A541" s="42"/>
      <c r="B541" s="42"/>
      <c r="C541" s="45"/>
      <c r="D541" s="41"/>
    </row>
    <row r="542" spans="1:4" ht="19.5" customHeight="1" x14ac:dyDescent="0.25">
      <c r="A542" s="42"/>
      <c r="B542" s="42"/>
      <c r="C542" s="45"/>
      <c r="D542" s="41"/>
    </row>
    <row r="543" spans="1:4" ht="19.5" customHeight="1" x14ac:dyDescent="0.25">
      <c r="A543" s="42"/>
      <c r="B543" s="42"/>
      <c r="C543" s="45"/>
      <c r="D543" s="41"/>
    </row>
    <row r="544" spans="1:4" ht="19.5" customHeight="1" x14ac:dyDescent="0.25">
      <c r="A544" s="42"/>
      <c r="B544" s="42"/>
      <c r="C544" s="45"/>
      <c r="D544" s="41"/>
    </row>
    <row r="545" spans="1:4" ht="19.5" customHeight="1" x14ac:dyDescent="0.25">
      <c r="A545" s="42"/>
      <c r="B545" s="42"/>
      <c r="C545" s="45"/>
      <c r="D545" s="41"/>
    </row>
    <row r="546" spans="1:4" ht="19.5" customHeight="1" x14ac:dyDescent="0.25">
      <c r="A546" s="42"/>
      <c r="B546" s="42"/>
      <c r="C546" s="45"/>
      <c r="D546" s="41"/>
    </row>
    <row r="547" spans="1:4" ht="19.5" customHeight="1" x14ac:dyDescent="0.25">
      <c r="A547" s="42"/>
      <c r="B547" s="42"/>
      <c r="C547" s="45"/>
      <c r="D547" s="41"/>
    </row>
    <row r="548" spans="1:4" ht="19.5" customHeight="1" x14ac:dyDescent="0.25">
      <c r="A548" s="42"/>
      <c r="B548" s="42"/>
      <c r="C548" s="45"/>
      <c r="D548" s="41"/>
    </row>
    <row r="549" spans="1:4" ht="19.5" customHeight="1" x14ac:dyDescent="0.25">
      <c r="A549" s="42"/>
      <c r="B549" s="42"/>
      <c r="C549" s="45"/>
      <c r="D549" s="41"/>
    </row>
    <row r="550" spans="1:4" ht="19.5" customHeight="1" x14ac:dyDescent="0.25">
      <c r="A550" s="42"/>
      <c r="B550" s="42"/>
      <c r="C550" s="45"/>
      <c r="D550" s="41"/>
    </row>
    <row r="551" spans="1:4" ht="19.5" customHeight="1" x14ac:dyDescent="0.25">
      <c r="A551" s="42"/>
      <c r="B551" s="42"/>
      <c r="C551" s="45"/>
      <c r="D551" s="41"/>
    </row>
    <row r="552" spans="1:4" ht="19.5" customHeight="1" x14ac:dyDescent="0.25">
      <c r="A552" s="42"/>
      <c r="B552" s="42"/>
      <c r="C552" s="45"/>
      <c r="D552" s="41"/>
    </row>
    <row r="553" spans="1:4" ht="19.5" customHeight="1" x14ac:dyDescent="0.25">
      <c r="A553" s="42"/>
      <c r="B553" s="42"/>
      <c r="C553" s="45"/>
      <c r="D553" s="41"/>
    </row>
    <row r="554" spans="1:4" ht="19.5" customHeight="1" x14ac:dyDescent="0.25">
      <c r="A554" s="42"/>
      <c r="B554" s="42"/>
      <c r="C554" s="45"/>
      <c r="D554" s="41"/>
    </row>
    <row r="555" spans="1:4" ht="19.5" customHeight="1" x14ac:dyDescent="0.25">
      <c r="A555" s="42"/>
      <c r="B555" s="42"/>
      <c r="C555" s="45"/>
      <c r="D555" s="41"/>
    </row>
  </sheetData>
  <sortState ref="A4:D409">
    <sortCondition ref="B3:B409"/>
    <sortCondition ref="A3:A409"/>
  </sortState>
  <pageMargins left="0.75" right="0.25" top="0.7" bottom="0.5" header="0.3" footer="0.3"/>
  <pageSetup fitToHeight="0" orientation="landscape" r:id="rId1"/>
  <headerFooter alignWithMargins="0">
    <oddHeader xml:space="preserve">&amp;R&amp;"-,Bold"&amp;14Under 25 Miles           &amp;12                      &amp;K00+000 . 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view="pageBreakPreview" zoomScale="120" zoomScaleNormal="100" zoomScaleSheetLayoutView="120" workbookViewId="0">
      <selection activeCell="C3" sqref="C3"/>
    </sheetView>
  </sheetViews>
  <sheetFormatPr defaultColWidth="9.140625" defaultRowHeight="15" x14ac:dyDescent="0.25"/>
  <cols>
    <col min="1" max="2" width="18.5703125" style="11" customWidth="1"/>
    <col min="3" max="3" width="16.5703125" style="11" customWidth="1"/>
    <col min="4" max="4" width="8.7109375" style="11" customWidth="1"/>
    <col min="5" max="5" width="14.85546875" style="11" hidden="1" customWidth="1"/>
    <col min="6" max="7" width="14.85546875" style="11" customWidth="1"/>
    <col min="8" max="8" width="15.7109375" style="11" customWidth="1"/>
    <col min="9" max="9" width="9.140625" style="19" customWidth="1"/>
    <col min="10" max="16384" width="9.140625" style="19"/>
  </cols>
  <sheetData>
    <row r="1" spans="1:24" ht="24" customHeight="1" x14ac:dyDescent="0.3">
      <c r="A1" s="17" t="s">
        <v>900</v>
      </c>
      <c r="H1" s="46" t="s">
        <v>8</v>
      </c>
    </row>
    <row r="2" spans="1:24" ht="27" customHeight="1" x14ac:dyDescent="0.3">
      <c r="A2" s="20" t="s">
        <v>5</v>
      </c>
      <c r="B2" s="20" t="s">
        <v>6</v>
      </c>
      <c r="C2" s="16" t="s">
        <v>2</v>
      </c>
      <c r="D2" s="32" t="s">
        <v>328</v>
      </c>
      <c r="E2" s="8" t="s">
        <v>1061</v>
      </c>
      <c r="F2" s="14" t="s">
        <v>1058</v>
      </c>
      <c r="G2" s="7" t="s">
        <v>1059</v>
      </c>
      <c r="H2" s="35" t="s">
        <v>1060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s="22" customFormat="1" ht="18.75" customHeight="1" x14ac:dyDescent="0.25">
      <c r="A3" s="42" t="s">
        <v>213</v>
      </c>
      <c r="B3" s="42" t="s">
        <v>214</v>
      </c>
      <c r="C3" s="63">
        <f>2.5+4+4+4+4+4+10+4+4</f>
        <v>40.5</v>
      </c>
      <c r="D3" s="47">
        <v>9</v>
      </c>
      <c r="E3" s="15"/>
      <c r="F3" s="15"/>
      <c r="G3" s="15"/>
      <c r="H3" s="15"/>
    </row>
    <row r="4" spans="1:24" s="22" customFormat="1" ht="18.75" customHeight="1" x14ac:dyDescent="0.25">
      <c r="A4" s="42" t="s">
        <v>733</v>
      </c>
      <c r="B4" s="42" t="s">
        <v>753</v>
      </c>
      <c r="C4" s="63">
        <f>13+16</f>
        <v>29</v>
      </c>
      <c r="D4" s="47">
        <v>2</v>
      </c>
      <c r="E4" s="15"/>
      <c r="F4" s="15"/>
      <c r="G4" s="15"/>
      <c r="H4" s="15"/>
    </row>
    <row r="5" spans="1:24" s="22" customFormat="1" ht="18.75" customHeight="1" x14ac:dyDescent="0.25">
      <c r="A5" s="42" t="s">
        <v>13</v>
      </c>
      <c r="B5" s="42" t="s">
        <v>424</v>
      </c>
      <c r="C5" s="63">
        <f>4+4+4+4+4+4+4</f>
        <v>28</v>
      </c>
      <c r="D5" s="47">
        <v>7</v>
      </c>
      <c r="E5" s="15"/>
      <c r="F5" s="15"/>
      <c r="G5" s="15"/>
      <c r="H5" s="15"/>
    </row>
    <row r="6" spans="1:24" s="22" customFormat="1" ht="18.75" customHeight="1" x14ac:dyDescent="0.25">
      <c r="A6" s="42" t="s">
        <v>500</v>
      </c>
      <c r="B6" s="42" t="s">
        <v>501</v>
      </c>
      <c r="C6" s="45">
        <f>4+5+5+5+4.5+5+5+5+4</f>
        <v>42.5</v>
      </c>
      <c r="D6" s="47">
        <v>9</v>
      </c>
      <c r="E6" s="15"/>
      <c r="F6" s="15"/>
      <c r="G6" s="15"/>
      <c r="H6" s="15"/>
    </row>
    <row r="7" spans="1:24" ht="18.75" customHeight="1" x14ac:dyDescent="0.25">
      <c r="A7" s="42" t="s">
        <v>706</v>
      </c>
      <c r="B7" s="42" t="s">
        <v>707</v>
      </c>
      <c r="C7" s="63">
        <f>4+4+4+4+4+4+4</f>
        <v>28</v>
      </c>
      <c r="D7" s="47">
        <v>7</v>
      </c>
    </row>
    <row r="8" spans="1:24" ht="18.75" customHeight="1" x14ac:dyDescent="0.25">
      <c r="A8" s="42" t="s">
        <v>228</v>
      </c>
      <c r="B8" s="42" t="s">
        <v>229</v>
      </c>
      <c r="C8" s="63">
        <f>4+4+4+4+4+2+4+4+4+4+4+4</f>
        <v>46</v>
      </c>
      <c r="D8" s="47">
        <v>12</v>
      </c>
    </row>
    <row r="9" spans="1:24" s="22" customFormat="1" ht="18.75" customHeight="1" x14ac:dyDescent="0.25">
      <c r="A9" s="42" t="s">
        <v>276</v>
      </c>
      <c r="B9" s="42" t="s">
        <v>252</v>
      </c>
      <c r="C9" s="63">
        <f>4.1+5+2.3+5+7+3</f>
        <v>26.4</v>
      </c>
      <c r="D9" s="47">
        <v>6</v>
      </c>
      <c r="E9" s="15"/>
      <c r="F9" s="15"/>
      <c r="G9" s="15"/>
      <c r="H9" s="15"/>
    </row>
    <row r="10" spans="1:24" s="22" customFormat="1" ht="18.75" customHeight="1" x14ac:dyDescent="0.25">
      <c r="A10" s="42" t="s">
        <v>387</v>
      </c>
      <c r="B10" s="42" t="s">
        <v>741</v>
      </c>
      <c r="C10" s="63">
        <f>5+5+4+4+1+4+4</f>
        <v>27</v>
      </c>
      <c r="D10" s="47">
        <v>7</v>
      </c>
      <c r="E10" s="15"/>
      <c r="F10" s="15"/>
      <c r="G10" s="15"/>
      <c r="H10" s="15"/>
    </row>
    <row r="11" spans="1:24" s="22" customFormat="1" ht="18.75" customHeight="1" x14ac:dyDescent="0.3">
      <c r="A11" s="42" t="s">
        <v>173</v>
      </c>
      <c r="B11" s="42" t="s">
        <v>457</v>
      </c>
      <c r="C11" s="45">
        <f>12+8.5+6+7+5</f>
        <v>38.5</v>
      </c>
      <c r="D11" s="47">
        <v>5</v>
      </c>
      <c r="E11" s="37"/>
      <c r="F11" s="38"/>
      <c r="G11" s="39"/>
      <c r="H11" s="4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4" s="22" customFormat="1" ht="18.75" customHeight="1" x14ac:dyDescent="0.25">
      <c r="A12" s="42" t="s">
        <v>721</v>
      </c>
      <c r="B12" s="42" t="s">
        <v>722</v>
      </c>
      <c r="C12" s="63">
        <f>4+2.5+5+4+5+4+5+4+5+5</f>
        <v>43.5</v>
      </c>
      <c r="D12" s="47">
        <v>9</v>
      </c>
      <c r="E12" s="15"/>
      <c r="F12" s="15"/>
      <c r="G12" s="15"/>
      <c r="H12" s="15"/>
    </row>
    <row r="13" spans="1:24" s="22" customFormat="1" ht="18.75" customHeight="1" x14ac:dyDescent="0.25">
      <c r="A13" s="42" t="s">
        <v>159</v>
      </c>
      <c r="B13" s="42" t="s">
        <v>396</v>
      </c>
      <c r="C13" s="45">
        <f>5+5+5+5+5</f>
        <v>25</v>
      </c>
      <c r="D13" s="47">
        <f>1+1+1+1+1</f>
        <v>5</v>
      </c>
      <c r="E13" s="15"/>
      <c r="F13" s="15"/>
      <c r="G13" s="15"/>
      <c r="H13" s="15"/>
    </row>
    <row r="14" spans="1:24" s="22" customFormat="1" ht="18.75" customHeight="1" x14ac:dyDescent="0.3">
      <c r="A14" s="42" t="s">
        <v>732</v>
      </c>
      <c r="B14" s="42" t="s">
        <v>899</v>
      </c>
      <c r="C14" s="63">
        <f>16.5+16.5</f>
        <v>33</v>
      </c>
      <c r="D14" s="47">
        <v>2</v>
      </c>
      <c r="E14" s="15"/>
      <c r="F14" s="15"/>
      <c r="G14" s="15"/>
      <c r="H14" s="1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4" s="22" customFormat="1" ht="18.75" customHeight="1" x14ac:dyDescent="0.25">
      <c r="A15" s="42" t="s">
        <v>731</v>
      </c>
      <c r="B15" s="42" t="s">
        <v>899</v>
      </c>
      <c r="C15" s="63">
        <f>15.5+16.5</f>
        <v>32</v>
      </c>
      <c r="D15" s="47">
        <v>2</v>
      </c>
      <c r="E15" s="15"/>
      <c r="F15" s="15"/>
      <c r="G15" s="15"/>
      <c r="H15" s="15"/>
    </row>
    <row r="16" spans="1:24" s="22" customFormat="1" ht="18.75" customHeight="1" x14ac:dyDescent="0.25">
      <c r="A16" s="42" t="s">
        <v>96</v>
      </c>
      <c r="B16" s="42" t="s">
        <v>754</v>
      </c>
      <c r="C16" s="63">
        <f>19.79+4+5+5</f>
        <v>33.79</v>
      </c>
      <c r="D16" s="47">
        <v>4</v>
      </c>
      <c r="E16" s="15"/>
      <c r="F16" s="15"/>
      <c r="G16" s="15"/>
      <c r="H16" s="15"/>
    </row>
    <row r="17" spans="1:8" s="22" customFormat="1" ht="18.75" customHeight="1" x14ac:dyDescent="0.25">
      <c r="A17" s="42" t="s">
        <v>502</v>
      </c>
      <c r="B17" s="42" t="s">
        <v>503</v>
      </c>
      <c r="C17" s="45">
        <f>5+20</f>
        <v>25</v>
      </c>
      <c r="D17" s="47">
        <f>1+1</f>
        <v>2</v>
      </c>
      <c r="E17" s="15"/>
      <c r="F17" s="15"/>
      <c r="G17" s="15"/>
      <c r="H17" s="15"/>
    </row>
    <row r="18" spans="1:8" s="22" customFormat="1" ht="18.75" customHeight="1" x14ac:dyDescent="0.25">
      <c r="A18" s="42" t="s">
        <v>802</v>
      </c>
      <c r="B18" s="42" t="s">
        <v>803</v>
      </c>
      <c r="C18" s="63">
        <f>7.2+6.2+7+7+7.1+7+5</f>
        <v>46.5</v>
      </c>
      <c r="D18" s="47">
        <v>7</v>
      </c>
      <c r="E18" s="15"/>
      <c r="F18" s="15"/>
      <c r="G18" s="15"/>
      <c r="H18" s="15"/>
    </row>
    <row r="19" spans="1:8" s="22" customFormat="1" ht="18.75" customHeight="1" x14ac:dyDescent="0.25">
      <c r="A19" s="42" t="s">
        <v>233</v>
      </c>
      <c r="B19" s="42" t="s">
        <v>640</v>
      </c>
      <c r="C19" s="63">
        <f>4+5+5+3.5+4+4+4+3.4+5</f>
        <v>37.9</v>
      </c>
      <c r="D19" s="47">
        <v>9</v>
      </c>
      <c r="E19" s="15"/>
      <c r="F19" s="15"/>
      <c r="G19" s="15"/>
      <c r="H19" s="15"/>
    </row>
    <row r="20" spans="1:8" s="22" customFormat="1" ht="18.75" customHeight="1" x14ac:dyDescent="0.25">
      <c r="A20" s="42" t="s">
        <v>577</v>
      </c>
      <c r="B20" s="42" t="s">
        <v>578</v>
      </c>
      <c r="C20" s="63">
        <f>2+3+2+3.5+3.5+4+2+2+2.5+4+3.5</f>
        <v>32</v>
      </c>
      <c r="D20" s="47">
        <v>11</v>
      </c>
      <c r="E20" s="15"/>
      <c r="F20" s="15"/>
      <c r="G20" s="15"/>
      <c r="H20" s="15"/>
    </row>
    <row r="21" spans="1:8" s="22" customFormat="1" ht="18.75" customHeight="1" x14ac:dyDescent="0.25">
      <c r="A21" s="42" t="s">
        <v>287</v>
      </c>
      <c r="B21" s="42" t="s">
        <v>641</v>
      </c>
      <c r="C21" s="63">
        <f>5+4+4+5+4+4</f>
        <v>26</v>
      </c>
      <c r="D21" s="47">
        <v>6</v>
      </c>
      <c r="E21" s="15"/>
      <c r="F21" s="15"/>
      <c r="G21" s="15"/>
      <c r="H21" s="15"/>
    </row>
    <row r="22" spans="1:8" s="22" customFormat="1" ht="18.75" customHeight="1" x14ac:dyDescent="0.25">
      <c r="A22" s="42" t="s">
        <v>262</v>
      </c>
      <c r="B22" s="42" t="s">
        <v>263</v>
      </c>
      <c r="C22" s="45">
        <f>15+12.25+2.4</f>
        <v>29.65</v>
      </c>
      <c r="D22" s="47">
        <v>3</v>
      </c>
      <c r="E22" s="15"/>
      <c r="F22" s="15"/>
      <c r="G22" s="15"/>
      <c r="H22" s="15"/>
    </row>
    <row r="23" spans="1:8" s="22" customFormat="1" ht="18.75" customHeight="1" x14ac:dyDescent="0.25">
      <c r="A23" s="42" t="s">
        <v>648</v>
      </c>
      <c r="B23" s="42" t="s">
        <v>649</v>
      </c>
      <c r="C23" s="63">
        <f>4+5+4+4+5+4+5+4+5</f>
        <v>40</v>
      </c>
      <c r="D23" s="47">
        <v>9</v>
      </c>
      <c r="E23" s="15"/>
      <c r="F23" s="15"/>
      <c r="G23" s="15"/>
      <c r="H23" s="15"/>
    </row>
    <row r="24" spans="1:8" s="22" customFormat="1" ht="18.75" customHeight="1" x14ac:dyDescent="0.25">
      <c r="A24" s="42" t="s">
        <v>28</v>
      </c>
      <c r="B24" s="42" t="s">
        <v>309</v>
      </c>
      <c r="C24" s="63">
        <f>5+6+4+6+4+4</f>
        <v>29</v>
      </c>
      <c r="D24" s="47">
        <v>6</v>
      </c>
      <c r="E24" s="15"/>
      <c r="F24" s="15"/>
      <c r="G24" s="15"/>
      <c r="H24" s="15"/>
    </row>
    <row r="25" spans="1:8" s="22" customFormat="1" ht="18.75" customHeight="1" x14ac:dyDescent="0.25">
      <c r="A25" s="42" t="s">
        <v>325</v>
      </c>
      <c r="B25" s="42" t="s">
        <v>326</v>
      </c>
      <c r="C25" s="45">
        <f>13.7+15.62</f>
        <v>29.32</v>
      </c>
      <c r="D25" s="47">
        <f>1+1</f>
        <v>2</v>
      </c>
      <c r="E25" s="15"/>
      <c r="F25" s="15"/>
      <c r="G25" s="15"/>
      <c r="H25" s="15"/>
    </row>
    <row r="26" spans="1:8" s="22" customFormat="1" ht="18.75" customHeight="1" x14ac:dyDescent="0.25">
      <c r="A26" s="42" t="s">
        <v>673</v>
      </c>
      <c r="B26" s="42" t="s">
        <v>820</v>
      </c>
      <c r="C26" s="63">
        <f>4.5+5+5+7.5+7.4+5+7.4</f>
        <v>41.8</v>
      </c>
      <c r="D26" s="47">
        <v>7</v>
      </c>
      <c r="E26" s="15"/>
      <c r="F26" s="15"/>
      <c r="G26" s="15"/>
      <c r="H26" s="15"/>
    </row>
    <row r="27" spans="1:8" s="22" customFormat="1" ht="18.75" customHeight="1" x14ac:dyDescent="0.25">
      <c r="A27" s="42" t="s">
        <v>43</v>
      </c>
      <c r="B27" s="42" t="s">
        <v>525</v>
      </c>
      <c r="C27" s="45">
        <f>4+4+5+3+6+3.5+6+4+5+1+4+3</f>
        <v>48.5</v>
      </c>
      <c r="D27" s="47">
        <v>12</v>
      </c>
      <c r="E27" s="15"/>
      <c r="F27" s="15"/>
      <c r="G27" s="15"/>
      <c r="H27" s="15"/>
    </row>
    <row r="28" spans="1:8" s="22" customFormat="1" ht="18.75" customHeight="1" x14ac:dyDescent="0.25">
      <c r="A28" s="42" t="s">
        <v>144</v>
      </c>
      <c r="B28" s="42" t="s">
        <v>145</v>
      </c>
      <c r="C28" s="45">
        <f>4.5+4+4+4+5+4+4+4+2+3.5+3+5.5</f>
        <v>47.5</v>
      </c>
      <c r="D28" s="47">
        <v>12</v>
      </c>
      <c r="E28" s="15"/>
      <c r="F28" s="15"/>
      <c r="G28" s="15"/>
      <c r="H28" s="15"/>
    </row>
    <row r="29" spans="1:8" s="22" customFormat="1" ht="18.75" customHeight="1" x14ac:dyDescent="0.25">
      <c r="A29" s="42" t="s">
        <v>444</v>
      </c>
      <c r="B29" s="42" t="s">
        <v>445</v>
      </c>
      <c r="C29" s="63">
        <f>5+4+5+5+7.5</f>
        <v>26.5</v>
      </c>
      <c r="D29" s="47">
        <v>5</v>
      </c>
      <c r="E29" s="15"/>
      <c r="F29" s="15"/>
      <c r="G29" s="15"/>
      <c r="H29" s="15"/>
    </row>
    <row r="30" spans="1:8" s="22" customFormat="1" ht="18.75" customHeight="1" x14ac:dyDescent="0.25">
      <c r="A30" s="42" t="s">
        <v>217</v>
      </c>
      <c r="B30" s="42" t="s">
        <v>351</v>
      </c>
      <c r="C30" s="45">
        <f>23+4+3</f>
        <v>30</v>
      </c>
      <c r="D30" s="47">
        <v>3</v>
      </c>
      <c r="E30" s="15"/>
      <c r="F30" s="15"/>
      <c r="G30" s="15"/>
      <c r="H30" s="15"/>
    </row>
    <row r="31" spans="1:8" ht="18.75" customHeight="1" x14ac:dyDescent="0.25">
      <c r="A31" s="42" t="s">
        <v>192</v>
      </c>
      <c r="B31" s="42" t="s">
        <v>620</v>
      </c>
      <c r="C31" s="45">
        <f>11+8+10</f>
        <v>29</v>
      </c>
      <c r="D31" s="47">
        <v>3</v>
      </c>
    </row>
    <row r="32" spans="1:8" s="22" customFormat="1" ht="18.75" customHeight="1" x14ac:dyDescent="0.25">
      <c r="A32" s="42" t="s">
        <v>210</v>
      </c>
      <c r="B32" s="42" t="s">
        <v>272</v>
      </c>
      <c r="C32" s="63">
        <f>2.5+2.3+3.25+0.75+1.67+2.5+2.5+2.9+4+4</f>
        <v>26.37</v>
      </c>
      <c r="D32" s="47">
        <v>10</v>
      </c>
      <c r="E32" s="15"/>
      <c r="F32" s="15"/>
      <c r="G32" s="15"/>
      <c r="H32" s="15"/>
    </row>
    <row r="33" spans="1:8" s="22" customFormat="1" ht="18.75" customHeight="1" x14ac:dyDescent="0.25">
      <c r="A33" s="42" t="s">
        <v>217</v>
      </c>
      <c r="B33" s="42" t="s">
        <v>437</v>
      </c>
      <c r="C33" s="45">
        <f>3+4+4+4+4+4+4+4+4</f>
        <v>35</v>
      </c>
      <c r="D33" s="47">
        <v>9</v>
      </c>
      <c r="E33" s="15"/>
      <c r="F33" s="15"/>
      <c r="G33" s="15"/>
      <c r="H33" s="15"/>
    </row>
    <row r="34" spans="1:8" s="22" customFormat="1" ht="18.75" customHeight="1" x14ac:dyDescent="0.25">
      <c r="A34" s="42" t="s">
        <v>832</v>
      </c>
      <c r="B34" s="42" t="s">
        <v>833</v>
      </c>
      <c r="C34" s="63">
        <f>5+3.5+5+2.5+7.25+2.5+7+2.5</f>
        <v>35.25</v>
      </c>
      <c r="D34" s="47">
        <v>8</v>
      </c>
      <c r="E34" s="15"/>
      <c r="F34" s="15"/>
      <c r="G34" s="15"/>
      <c r="H34" s="15"/>
    </row>
    <row r="35" spans="1:8" s="22" customFormat="1" ht="18.75" customHeight="1" x14ac:dyDescent="0.25">
      <c r="A35" s="42" t="s">
        <v>208</v>
      </c>
      <c r="B35" s="42" t="s">
        <v>286</v>
      </c>
      <c r="C35" s="63">
        <f>5+7+7+4+4+9</f>
        <v>36</v>
      </c>
      <c r="D35" s="47">
        <v>6</v>
      </c>
      <c r="E35" s="15"/>
      <c r="F35" s="15"/>
      <c r="G35" s="15"/>
      <c r="H35" s="15"/>
    </row>
    <row r="36" spans="1:8" s="22" customFormat="1" ht="18.75" customHeight="1" x14ac:dyDescent="0.25">
      <c r="A36" s="42" t="s">
        <v>128</v>
      </c>
      <c r="B36" s="42" t="s">
        <v>456</v>
      </c>
      <c r="C36" s="63">
        <f>8.25+10.11+12.36+10.08</f>
        <v>40.799999999999997</v>
      </c>
      <c r="D36" s="47">
        <v>4</v>
      </c>
      <c r="E36" s="15"/>
      <c r="F36" s="15"/>
      <c r="G36" s="15"/>
      <c r="H36" s="15"/>
    </row>
    <row r="37" spans="1:8" s="22" customFormat="1" ht="18.75" customHeight="1" x14ac:dyDescent="0.25">
      <c r="A37" s="42" t="s">
        <v>173</v>
      </c>
      <c r="B37" s="42" t="s">
        <v>180</v>
      </c>
      <c r="C37" s="63">
        <f>4+2+2.5+2.5+4+2.5+3.5+2.5+2.5+4.5+3.5+3.5+4+4+3</f>
        <v>48.5</v>
      </c>
      <c r="D37" s="47">
        <v>15</v>
      </c>
      <c r="E37" s="15"/>
      <c r="F37" s="15"/>
      <c r="G37" s="15"/>
      <c r="H37" s="15"/>
    </row>
    <row r="38" spans="1:8" s="22" customFormat="1" ht="18.75" customHeight="1" x14ac:dyDescent="0.25">
      <c r="A38" s="42" t="s">
        <v>679</v>
      </c>
      <c r="B38" s="42" t="s">
        <v>680</v>
      </c>
      <c r="C38" s="63">
        <f>6+6+7+7+5+7+6+5</f>
        <v>49</v>
      </c>
      <c r="D38" s="47">
        <v>8</v>
      </c>
      <c r="E38" s="15"/>
      <c r="F38" s="15"/>
      <c r="G38" s="15"/>
      <c r="H38" s="15"/>
    </row>
    <row r="39" spans="1:8" s="22" customFormat="1" ht="18.75" customHeight="1" x14ac:dyDescent="0.25">
      <c r="A39" s="42" t="s">
        <v>586</v>
      </c>
      <c r="B39" s="42" t="s">
        <v>587</v>
      </c>
      <c r="C39" s="63">
        <f>5+7+7+5+7</f>
        <v>31</v>
      </c>
      <c r="D39" s="47">
        <v>5</v>
      </c>
      <c r="E39" s="15"/>
      <c r="F39" s="15"/>
      <c r="G39" s="15"/>
      <c r="H39" s="15"/>
    </row>
    <row r="40" spans="1:8" s="22" customFormat="1" ht="18.75" customHeight="1" x14ac:dyDescent="0.25">
      <c r="A40" s="42" t="s">
        <v>225</v>
      </c>
      <c r="B40" s="42" t="s">
        <v>269</v>
      </c>
      <c r="C40" s="63">
        <f>12+5+5+4+4</f>
        <v>30</v>
      </c>
      <c r="D40" s="47">
        <v>5</v>
      </c>
      <c r="E40" s="15"/>
      <c r="F40" s="15"/>
      <c r="G40" s="15"/>
      <c r="H40" s="15"/>
    </row>
    <row r="41" spans="1:8" s="22" customFormat="1" ht="18.75" customHeight="1" x14ac:dyDescent="0.25">
      <c r="A41" s="42" t="s">
        <v>361</v>
      </c>
      <c r="B41" s="42" t="s">
        <v>112</v>
      </c>
      <c r="C41" s="63">
        <f>2.3+2.25+2.5+2.25+2.25+3+4+2.3+2.3+2.3+2.3+2.3+2.3+2.3+2.3</f>
        <v>36.949999999999996</v>
      </c>
      <c r="D41" s="47">
        <v>15</v>
      </c>
      <c r="E41" s="15"/>
      <c r="F41" s="15"/>
      <c r="G41" s="15"/>
      <c r="H41" s="15"/>
    </row>
    <row r="42" spans="1:8" s="22" customFormat="1" ht="18.75" customHeight="1" x14ac:dyDescent="0.25">
      <c r="A42" s="42" t="s">
        <v>433</v>
      </c>
      <c r="B42" s="42" t="s">
        <v>434</v>
      </c>
      <c r="C42" s="63">
        <f>2.5+4+2.5+2.5+4+4+2.5+4+2.5+4+4</f>
        <v>36.5</v>
      </c>
      <c r="D42" s="47">
        <v>11</v>
      </c>
      <c r="E42" s="15"/>
      <c r="F42" s="15"/>
      <c r="G42" s="15"/>
      <c r="H42" s="15"/>
    </row>
    <row r="43" spans="1:8" s="22" customFormat="1" ht="18.75" customHeight="1" x14ac:dyDescent="0.25">
      <c r="A43" s="42" t="s">
        <v>88</v>
      </c>
      <c r="B43" s="42" t="s">
        <v>132</v>
      </c>
      <c r="C43" s="45">
        <f>4+4+4+5+4+4+4+4+4+4+3+2</f>
        <v>46</v>
      </c>
      <c r="D43" s="47">
        <v>12</v>
      </c>
      <c r="E43" s="15"/>
      <c r="F43" s="15"/>
      <c r="G43" s="15"/>
      <c r="H43" s="15"/>
    </row>
    <row r="44" spans="1:8" s="22" customFormat="1" ht="18.75" customHeight="1" x14ac:dyDescent="0.25">
      <c r="A44" s="42" t="s">
        <v>240</v>
      </c>
      <c r="B44" s="42" t="s">
        <v>241</v>
      </c>
      <c r="C44" s="63">
        <f>2.5+2.5+2.5+2.5+2.5+2.5+2.5+2.5+2.5+4</f>
        <v>26.5</v>
      </c>
      <c r="D44" s="47">
        <v>10</v>
      </c>
      <c r="E44" s="15"/>
      <c r="F44" s="15"/>
      <c r="G44" s="15"/>
      <c r="H44" s="15"/>
    </row>
    <row r="45" spans="1:8" s="22" customFormat="1" ht="18.75" customHeight="1" x14ac:dyDescent="0.25">
      <c r="A45" s="42" t="s">
        <v>599</v>
      </c>
      <c r="B45" s="42" t="s">
        <v>600</v>
      </c>
      <c r="C45" s="63">
        <f>2+3+4+3+4+4+4+3+4+4</f>
        <v>35</v>
      </c>
      <c r="D45" s="47">
        <v>10</v>
      </c>
      <c r="E45" s="15"/>
      <c r="F45" s="15"/>
      <c r="G45" s="15"/>
      <c r="H45" s="15"/>
    </row>
    <row r="46" spans="1:8" s="22" customFormat="1" ht="18.75" customHeight="1" x14ac:dyDescent="0.25">
      <c r="A46" s="42" t="s">
        <v>117</v>
      </c>
      <c r="B46" s="42" t="s">
        <v>211</v>
      </c>
      <c r="C46" s="63">
        <f>11+7.5+4+5+4+5+10</f>
        <v>46.5</v>
      </c>
      <c r="D46" s="47">
        <v>7</v>
      </c>
      <c r="E46" s="15"/>
      <c r="F46" s="15"/>
      <c r="G46" s="15"/>
      <c r="H46" s="15"/>
    </row>
    <row r="47" spans="1:8" s="22" customFormat="1" ht="18.75" customHeight="1" x14ac:dyDescent="0.25">
      <c r="A47" s="42" t="s">
        <v>597</v>
      </c>
      <c r="B47" s="42" t="s">
        <v>598</v>
      </c>
      <c r="C47" s="45">
        <f>6+15+7</f>
        <v>28</v>
      </c>
      <c r="D47" s="47">
        <v>2</v>
      </c>
      <c r="E47" s="15"/>
      <c r="F47" s="15"/>
      <c r="G47" s="15"/>
      <c r="H47" s="15"/>
    </row>
    <row r="48" spans="1:8" s="22" customFormat="1" ht="18.75" customHeight="1" x14ac:dyDescent="0.25">
      <c r="A48" s="42" t="s">
        <v>702</v>
      </c>
      <c r="B48" s="42" t="s">
        <v>703</v>
      </c>
      <c r="C48" s="63">
        <f>7+7+5+6+7+5.5+11</f>
        <v>48.5</v>
      </c>
      <c r="D48" s="47">
        <v>7</v>
      </c>
      <c r="E48" s="15"/>
      <c r="F48" s="15"/>
      <c r="G48" s="15"/>
      <c r="H48" s="15"/>
    </row>
    <row r="49" spans="1:23" s="22" customFormat="1" ht="18.75" customHeight="1" x14ac:dyDescent="0.25">
      <c r="A49" s="42" t="s">
        <v>557</v>
      </c>
      <c r="B49" s="42" t="s">
        <v>168</v>
      </c>
      <c r="C49" s="63">
        <f>10+5+7+4+5+5+5+5</f>
        <v>46</v>
      </c>
      <c r="D49" s="47">
        <v>8</v>
      </c>
      <c r="E49" s="15"/>
      <c r="F49" s="15"/>
      <c r="G49" s="15"/>
      <c r="H49" s="15"/>
    </row>
    <row r="50" spans="1:23" ht="18.75" customHeight="1" x14ac:dyDescent="0.25">
      <c r="A50" s="42" t="s">
        <v>626</v>
      </c>
      <c r="B50" s="42" t="s">
        <v>846</v>
      </c>
      <c r="C50" s="63">
        <f>5+5+5+7+11+2+7</f>
        <v>42</v>
      </c>
      <c r="D50" s="47">
        <v>7</v>
      </c>
    </row>
    <row r="51" spans="1:23" s="22" customFormat="1" ht="18.75" customHeight="1" x14ac:dyDescent="0.25">
      <c r="A51" s="42" t="s">
        <v>406</v>
      </c>
      <c r="B51" s="42" t="s">
        <v>407</v>
      </c>
      <c r="C51" s="45">
        <f>7+5+4+5+5</f>
        <v>26</v>
      </c>
      <c r="D51" s="47">
        <v>5</v>
      </c>
      <c r="E51" s="15"/>
      <c r="F51" s="15"/>
      <c r="G51" s="15"/>
      <c r="H51" s="15"/>
    </row>
    <row r="52" spans="1:23" s="22" customFormat="1" ht="18.75" customHeight="1" x14ac:dyDescent="0.25">
      <c r="A52" s="42" t="s">
        <v>119</v>
      </c>
      <c r="B52" s="42" t="s">
        <v>183</v>
      </c>
      <c r="C52" s="45">
        <f>5+15+5+5</f>
        <v>30</v>
      </c>
      <c r="D52" s="47">
        <v>4</v>
      </c>
      <c r="E52" s="15"/>
      <c r="F52" s="15"/>
      <c r="G52" s="15"/>
      <c r="H52" s="15"/>
    </row>
    <row r="53" spans="1:23" s="22" customFormat="1" ht="18.75" customHeight="1" x14ac:dyDescent="0.3">
      <c r="A53" s="42" t="s">
        <v>173</v>
      </c>
      <c r="B53" s="42" t="s">
        <v>304</v>
      </c>
      <c r="C53" s="45">
        <f>3+2+7+4+4+5+4</f>
        <v>29</v>
      </c>
      <c r="D53" s="47">
        <f>1+2+1+1+2</f>
        <v>7</v>
      </c>
      <c r="E53" s="8"/>
      <c r="F53" s="14"/>
      <c r="G53" s="7"/>
      <c r="H53" s="35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s="22" customFormat="1" ht="18.75" customHeight="1" x14ac:dyDescent="0.25">
      <c r="A54" s="42" t="s">
        <v>182</v>
      </c>
      <c r="B54" s="42" t="s">
        <v>358</v>
      </c>
      <c r="C54" s="45">
        <f>5+7.4+7+7+7.15+7+7</f>
        <v>47.55</v>
      </c>
      <c r="D54" s="47">
        <v>7</v>
      </c>
      <c r="E54" s="15"/>
      <c r="F54" s="15"/>
      <c r="G54" s="15"/>
      <c r="H54" s="15"/>
    </row>
    <row r="55" spans="1:23" s="22" customFormat="1" ht="18.75" customHeight="1" x14ac:dyDescent="0.25">
      <c r="A55" s="42" t="s">
        <v>281</v>
      </c>
      <c r="B55" s="42" t="s">
        <v>522</v>
      </c>
      <c r="C55" s="63">
        <f>5+2+5+5+5+7</f>
        <v>29</v>
      </c>
      <c r="D55" s="47">
        <v>5</v>
      </c>
      <c r="E55" s="15"/>
      <c r="F55" s="15"/>
      <c r="G55" s="15"/>
      <c r="H55" s="15"/>
    </row>
    <row r="56" spans="1:23" s="22" customFormat="1" ht="18.75" customHeight="1" x14ac:dyDescent="0.25">
      <c r="A56" s="42" t="s">
        <v>301</v>
      </c>
      <c r="B56" s="42" t="s">
        <v>302</v>
      </c>
      <c r="C56" s="45">
        <f>4+5+4+4+3+7.3+5+7</f>
        <v>39.299999999999997</v>
      </c>
      <c r="D56" s="47">
        <v>10</v>
      </c>
      <c r="E56" s="15"/>
      <c r="F56" s="15"/>
      <c r="G56" s="15"/>
      <c r="H56" s="15"/>
    </row>
    <row r="57" spans="1:23" s="22" customFormat="1" ht="18.75" customHeight="1" x14ac:dyDescent="0.25">
      <c r="A57" s="42" t="s">
        <v>834</v>
      </c>
      <c r="B57" s="42" t="s">
        <v>619</v>
      </c>
      <c r="C57" s="63">
        <f>5+5+5+5+1+4+4+4+4</f>
        <v>37</v>
      </c>
      <c r="D57" s="47">
        <v>9</v>
      </c>
      <c r="E57" s="15"/>
      <c r="F57" s="15"/>
      <c r="G57" s="15"/>
      <c r="H57" s="15"/>
    </row>
    <row r="58" spans="1:23" s="22" customFormat="1" ht="18.75" customHeight="1" x14ac:dyDescent="0.25">
      <c r="A58" s="42" t="s">
        <v>13</v>
      </c>
      <c r="B58" s="42" t="s">
        <v>773</v>
      </c>
      <c r="C58" s="63">
        <f>15+10</f>
        <v>25</v>
      </c>
      <c r="D58" s="47">
        <v>2</v>
      </c>
      <c r="E58" s="15"/>
      <c r="F58" s="15"/>
      <c r="G58" s="15"/>
      <c r="H58" s="15"/>
    </row>
    <row r="59" spans="1:23" s="22" customFormat="1" ht="18.75" customHeight="1" x14ac:dyDescent="0.25">
      <c r="A59" s="42" t="s">
        <v>781</v>
      </c>
      <c r="B59" s="42" t="s">
        <v>782</v>
      </c>
      <c r="C59" s="63">
        <f>11+9+4+4+10</f>
        <v>38</v>
      </c>
      <c r="D59" s="47">
        <v>5</v>
      </c>
      <c r="E59" s="15"/>
      <c r="F59" s="15"/>
      <c r="G59" s="15"/>
      <c r="H59" s="15"/>
    </row>
    <row r="60" spans="1:23" s="22" customFormat="1" ht="18.75" customHeight="1" x14ac:dyDescent="0.25">
      <c r="A60" s="42" t="s">
        <v>734</v>
      </c>
      <c r="B60" s="42" t="s">
        <v>52</v>
      </c>
      <c r="C60" s="63">
        <f>20+7+5+5</f>
        <v>37</v>
      </c>
      <c r="D60" s="47">
        <v>4</v>
      </c>
      <c r="E60" s="15"/>
      <c r="F60" s="15"/>
      <c r="G60" s="15"/>
      <c r="H60" s="15"/>
    </row>
    <row r="61" spans="1:23" s="22" customFormat="1" ht="18.75" customHeight="1" x14ac:dyDescent="0.25">
      <c r="A61" s="42" t="s">
        <v>281</v>
      </c>
      <c r="B61" s="42" t="s">
        <v>282</v>
      </c>
      <c r="C61" s="45">
        <f>14+5+5+7+5</f>
        <v>36</v>
      </c>
      <c r="D61" s="47">
        <v>5</v>
      </c>
      <c r="E61" s="15"/>
      <c r="F61" s="15"/>
      <c r="G61" s="15"/>
      <c r="H61" s="15"/>
    </row>
    <row r="62" spans="1:23" s="22" customFormat="1" ht="18.75" customHeight="1" x14ac:dyDescent="0.25">
      <c r="A62" s="42" t="s">
        <v>189</v>
      </c>
      <c r="B62" s="42" t="s">
        <v>363</v>
      </c>
      <c r="C62" s="63">
        <f>2.5+3.5+4+4+3.5+4+3.5+3.5+4+4+4</f>
        <v>40.5</v>
      </c>
      <c r="D62" s="47">
        <v>11</v>
      </c>
      <c r="E62" s="15"/>
      <c r="F62" s="15"/>
      <c r="G62" s="15"/>
      <c r="H62" s="15"/>
    </row>
    <row r="63" spans="1:23" s="22" customFormat="1" ht="18.75" customHeight="1" x14ac:dyDescent="0.25">
      <c r="A63" s="42" t="s">
        <v>520</v>
      </c>
      <c r="B63" s="42" t="s">
        <v>521</v>
      </c>
      <c r="C63" s="63">
        <f>5+5+5+6+5+5+6</f>
        <v>37</v>
      </c>
      <c r="D63" s="47">
        <v>7</v>
      </c>
      <c r="E63" s="15"/>
      <c r="F63" s="15"/>
      <c r="G63" s="15"/>
      <c r="H63" s="15"/>
    </row>
    <row r="64" spans="1:23" s="22" customFormat="1" ht="18.75" customHeight="1" x14ac:dyDescent="0.25">
      <c r="A64" s="42" t="s">
        <v>529</v>
      </c>
      <c r="B64" s="42" t="s">
        <v>530</v>
      </c>
      <c r="C64" s="45">
        <f>8+5+4+4+5+5+5+4</f>
        <v>40</v>
      </c>
      <c r="D64" s="47">
        <v>8</v>
      </c>
      <c r="E64" s="15"/>
      <c r="F64" s="15"/>
      <c r="G64" s="15"/>
      <c r="H64" s="15"/>
    </row>
    <row r="65" spans="1:8" s="22" customFormat="1" ht="18.75" customHeight="1" x14ac:dyDescent="0.25">
      <c r="A65" s="42" t="s">
        <v>611</v>
      </c>
      <c r="B65" s="42" t="s">
        <v>612</v>
      </c>
      <c r="C65" s="63">
        <f>10+7+8+9.5</f>
        <v>34.5</v>
      </c>
      <c r="D65" s="47">
        <v>4</v>
      </c>
      <c r="E65" s="15"/>
      <c r="F65" s="15"/>
      <c r="G65" s="15"/>
      <c r="H65" s="15"/>
    </row>
    <row r="66" spans="1:8" s="22" customFormat="1" ht="18.75" customHeight="1" x14ac:dyDescent="0.25">
      <c r="A66" s="42" t="s">
        <v>179</v>
      </c>
      <c r="B66" s="42" t="s">
        <v>408</v>
      </c>
      <c r="C66" s="63">
        <f>4+4+4+4+4+4+4+5+4+4</f>
        <v>41</v>
      </c>
      <c r="D66" s="47">
        <v>10</v>
      </c>
      <c r="E66" s="15"/>
      <c r="F66" s="15"/>
      <c r="G66" s="15"/>
      <c r="H66" s="15"/>
    </row>
    <row r="67" spans="1:8" s="22" customFormat="1" ht="18.75" customHeight="1" x14ac:dyDescent="0.25">
      <c r="A67" s="42" t="s">
        <v>159</v>
      </c>
      <c r="B67" s="42" t="s">
        <v>582</v>
      </c>
      <c r="C67" s="63">
        <f>5+5+5+5+5+5+5+5+5</f>
        <v>45</v>
      </c>
      <c r="D67" s="47">
        <v>9</v>
      </c>
      <c r="E67" s="15"/>
      <c r="F67" s="15"/>
      <c r="G67" s="15"/>
      <c r="H67" s="15"/>
    </row>
    <row r="68" spans="1:8" s="22" customFormat="1" ht="18.75" customHeight="1" x14ac:dyDescent="0.25">
      <c r="A68" s="42" t="s">
        <v>234</v>
      </c>
      <c r="B68" s="42" t="s">
        <v>235</v>
      </c>
      <c r="C68" s="63">
        <f>5+5.5+3.5+20+2+4</f>
        <v>40</v>
      </c>
      <c r="D68" s="47">
        <v>6</v>
      </c>
      <c r="E68" s="15"/>
      <c r="F68" s="15"/>
      <c r="G68" s="15"/>
      <c r="H68" s="15"/>
    </row>
    <row r="69" spans="1:8" ht="18.75" customHeight="1" x14ac:dyDescent="0.25">
      <c r="A69" s="42" t="s">
        <v>198</v>
      </c>
      <c r="B69" s="42" t="s">
        <v>779</v>
      </c>
      <c r="C69" s="63">
        <f>5+5+3+4+6+7.4+4</f>
        <v>34.4</v>
      </c>
      <c r="D69" s="47">
        <v>7</v>
      </c>
    </row>
    <row r="70" spans="1:8" s="22" customFormat="1" ht="18.75" customHeight="1" x14ac:dyDescent="0.25">
      <c r="A70" s="42" t="s">
        <v>547</v>
      </c>
      <c r="B70" s="42" t="s">
        <v>898</v>
      </c>
      <c r="C70" s="63">
        <f>10+17</f>
        <v>27</v>
      </c>
      <c r="D70" s="47">
        <v>2</v>
      </c>
      <c r="E70" s="15"/>
      <c r="F70" s="15"/>
      <c r="G70" s="15"/>
      <c r="H70" s="15"/>
    </row>
    <row r="71" spans="1:8" s="22" customFormat="1" ht="18.75" customHeight="1" x14ac:dyDescent="0.25">
      <c r="A71" s="42" t="s">
        <v>473</v>
      </c>
      <c r="B71" s="42" t="s">
        <v>474</v>
      </c>
      <c r="C71" s="45">
        <f>7.1+5+7+7+6+7</f>
        <v>39.1</v>
      </c>
      <c r="D71" s="47">
        <v>6</v>
      </c>
      <c r="E71" s="15"/>
      <c r="F71" s="15"/>
      <c r="G71" s="15"/>
      <c r="H71" s="15"/>
    </row>
    <row r="72" spans="1:8" s="22" customFormat="1" ht="18.75" customHeight="1" x14ac:dyDescent="0.25">
      <c r="A72" s="42" t="s">
        <v>486</v>
      </c>
      <c r="B72" s="42" t="s">
        <v>487</v>
      </c>
      <c r="C72" s="45">
        <f>4+3+5+5+7+4+4+4+4+4+4</f>
        <v>48</v>
      </c>
      <c r="D72" s="47">
        <v>11</v>
      </c>
      <c r="E72" s="15"/>
      <c r="F72" s="15"/>
      <c r="G72" s="15"/>
      <c r="H72" s="15"/>
    </row>
    <row r="73" spans="1:8" s="22" customFormat="1" ht="18.75" customHeight="1" x14ac:dyDescent="0.25">
      <c r="A73" s="42" t="s">
        <v>567</v>
      </c>
      <c r="B73" s="42" t="s">
        <v>568</v>
      </c>
      <c r="C73" s="63">
        <f>8+7+7+4</f>
        <v>26</v>
      </c>
      <c r="D73" s="47">
        <v>4</v>
      </c>
      <c r="E73" s="15"/>
      <c r="F73" s="15"/>
      <c r="G73" s="15"/>
      <c r="H73" s="15"/>
    </row>
    <row r="74" spans="1:8" s="22" customFormat="1" ht="18.75" customHeight="1" x14ac:dyDescent="0.25">
      <c r="A74" s="42" t="s">
        <v>173</v>
      </c>
      <c r="B74" s="42" t="s">
        <v>174</v>
      </c>
      <c r="C74" s="63">
        <f>4.5+4+4+4+2+3.5+3</f>
        <v>25</v>
      </c>
      <c r="D74" s="47">
        <v>7</v>
      </c>
      <c r="E74" s="15"/>
      <c r="F74" s="15"/>
      <c r="G74" s="15"/>
      <c r="H74" s="15"/>
    </row>
    <row r="75" spans="1:8" s="22" customFormat="1" ht="18.75" customHeight="1" x14ac:dyDescent="0.25">
      <c r="A75" s="42" t="s">
        <v>966</v>
      </c>
      <c r="B75" s="42" t="s">
        <v>967</v>
      </c>
      <c r="C75" s="63">
        <f>8.3+6+5+7+7</f>
        <v>33.299999999999997</v>
      </c>
      <c r="D75" s="47">
        <v>5</v>
      </c>
      <c r="E75" s="15"/>
      <c r="F75" s="15"/>
      <c r="G75" s="15"/>
      <c r="H75" s="15"/>
    </row>
    <row r="76" spans="1:8" s="22" customFormat="1" ht="18.75" customHeight="1" x14ac:dyDescent="0.25">
      <c r="A76" s="42" t="s">
        <v>777</v>
      </c>
      <c r="B76" s="42" t="s">
        <v>778</v>
      </c>
      <c r="C76" s="63">
        <f>4+4+7+5+5.5+4+4+5</f>
        <v>38.5</v>
      </c>
      <c r="D76" s="47">
        <v>8</v>
      </c>
      <c r="E76" s="15"/>
      <c r="F76" s="15"/>
      <c r="G76" s="15"/>
      <c r="H76" s="15"/>
    </row>
    <row r="77" spans="1:8" s="22" customFormat="1" ht="18.75" customHeight="1" x14ac:dyDescent="0.25">
      <c r="A77" s="42" t="s">
        <v>179</v>
      </c>
      <c r="B77" s="42" t="s">
        <v>809</v>
      </c>
      <c r="C77" s="45">
        <f>4+4+4+4+4+2+4+4+4+4+4</f>
        <v>42</v>
      </c>
      <c r="D77" s="47">
        <v>11</v>
      </c>
      <c r="E77" s="15"/>
      <c r="F77" s="15"/>
      <c r="G77" s="15"/>
      <c r="H77" s="15"/>
    </row>
    <row r="78" spans="1:8" s="22" customFormat="1" ht="18.75" customHeight="1" x14ac:dyDescent="0.25">
      <c r="A78" s="42" t="s">
        <v>435</v>
      </c>
      <c r="B78" s="42" t="s">
        <v>436</v>
      </c>
      <c r="C78" s="63">
        <f>2.5+4+2.5+2.5+4+4+2.5+4+2.5+4+4+4</f>
        <v>40.5</v>
      </c>
      <c r="D78" s="47">
        <v>12</v>
      </c>
      <c r="E78" s="15"/>
      <c r="F78" s="15"/>
      <c r="G78" s="15"/>
      <c r="H78" s="15"/>
    </row>
    <row r="79" spans="1:8" s="22" customFormat="1" ht="18.75" customHeight="1" x14ac:dyDescent="0.25">
      <c r="A79" s="42" t="s">
        <v>210</v>
      </c>
      <c r="B79" s="42" t="s">
        <v>553</v>
      </c>
      <c r="C79" s="45">
        <f>2+4+4+4+4+4+4+4+4+4+4+4</f>
        <v>46</v>
      </c>
      <c r="D79" s="47">
        <v>12</v>
      </c>
      <c r="E79" s="15"/>
      <c r="F79" s="15"/>
      <c r="G79" s="15"/>
      <c r="H79" s="15"/>
    </row>
    <row r="80" spans="1:8" s="22" customFormat="1" ht="18.75" customHeight="1" x14ac:dyDescent="0.25">
      <c r="A80" s="42" t="s">
        <v>55</v>
      </c>
      <c r="B80" s="42" t="s">
        <v>92</v>
      </c>
      <c r="C80" s="63">
        <f>2.5+3.5+2.5+3+2.5+2.5+5+1+2.5+2.5+2.5+4.5+2.5+4+2.5</f>
        <v>43.5</v>
      </c>
      <c r="D80" s="47">
        <v>15</v>
      </c>
      <c r="E80" s="15"/>
      <c r="F80" s="15"/>
      <c r="G80" s="15"/>
      <c r="H80" s="15"/>
    </row>
    <row r="81" spans="1:8" s="22" customFormat="1" ht="18.75" customHeight="1" x14ac:dyDescent="0.25">
      <c r="A81" s="42" t="s">
        <v>210</v>
      </c>
      <c r="B81" s="42" t="s">
        <v>223</v>
      </c>
      <c r="C81" s="63">
        <f>3.5+2.5+4+2.5+3+3+2.5+4+2.5</f>
        <v>27.5</v>
      </c>
      <c r="D81" s="47">
        <v>9</v>
      </c>
      <c r="E81" s="15"/>
      <c r="F81" s="15"/>
      <c r="G81" s="15"/>
      <c r="H81" s="15"/>
    </row>
    <row r="82" spans="1:8" ht="18.75" customHeight="1" x14ac:dyDescent="0.25">
      <c r="A82" s="42" t="s">
        <v>225</v>
      </c>
      <c r="B82" s="42" t="s">
        <v>226</v>
      </c>
      <c r="C82" s="45">
        <f>3+4+2+4+5+4+4+4+4+7</f>
        <v>41</v>
      </c>
      <c r="D82" s="47">
        <f>2+1+2+2+2+1</f>
        <v>10</v>
      </c>
    </row>
    <row r="83" spans="1:8" s="22" customFormat="1" ht="18.75" customHeight="1" x14ac:dyDescent="0.25">
      <c r="A83" s="42" t="s">
        <v>441</v>
      </c>
      <c r="B83" s="42" t="s">
        <v>442</v>
      </c>
      <c r="C83" s="45">
        <f>12.2+14</f>
        <v>26.2</v>
      </c>
      <c r="D83" s="47">
        <f>1+1</f>
        <v>2</v>
      </c>
      <c r="E83" s="15"/>
      <c r="F83" s="15"/>
      <c r="G83" s="15"/>
      <c r="H83" s="15"/>
    </row>
    <row r="84" spans="1:8" s="22" customFormat="1" ht="18.75" customHeight="1" x14ac:dyDescent="0.25">
      <c r="A84" s="42" t="s">
        <v>217</v>
      </c>
      <c r="B84" s="42" t="s">
        <v>824</v>
      </c>
      <c r="C84" s="63">
        <f>3+2.5+2.3+2.5+4+4+4.5+3</f>
        <v>25.8</v>
      </c>
      <c r="D84" s="47">
        <v>8</v>
      </c>
      <c r="E84" s="15"/>
      <c r="F84" s="15"/>
      <c r="G84" s="15"/>
      <c r="H84" s="15"/>
    </row>
    <row r="85" spans="1:8" s="22" customFormat="1" ht="18.75" customHeight="1" x14ac:dyDescent="0.25">
      <c r="A85" s="42" t="s">
        <v>389</v>
      </c>
      <c r="B85" s="42" t="s">
        <v>390</v>
      </c>
      <c r="C85" s="45">
        <f>3+2+4+4+4+4+4+4+4+4+4+4+2</f>
        <v>47</v>
      </c>
      <c r="D85" s="47">
        <v>13</v>
      </c>
      <c r="E85" s="15"/>
      <c r="F85" s="15"/>
      <c r="G85" s="15"/>
      <c r="H85" s="15"/>
    </row>
    <row r="86" spans="1:8" s="22" customFormat="1" ht="18.75" customHeight="1" x14ac:dyDescent="0.25">
      <c r="A86" s="42" t="s">
        <v>155</v>
      </c>
      <c r="B86" s="42" t="s">
        <v>212</v>
      </c>
      <c r="C86" s="45">
        <f>5+6+5+5+5+5</f>
        <v>31</v>
      </c>
      <c r="D86" s="47">
        <f>1+2+2+1</f>
        <v>6</v>
      </c>
      <c r="E86" s="15"/>
      <c r="F86" s="15"/>
      <c r="G86" s="15"/>
      <c r="H86" s="15"/>
    </row>
    <row r="87" spans="1:8" s="22" customFormat="1" ht="18.75" customHeight="1" x14ac:dyDescent="0.25">
      <c r="A87" s="42" t="s">
        <v>217</v>
      </c>
      <c r="B87" s="42" t="s">
        <v>678</v>
      </c>
      <c r="C87" s="63">
        <f>6+7+6+4+5+5+5</f>
        <v>38</v>
      </c>
      <c r="D87" s="47">
        <v>7</v>
      </c>
      <c r="E87" s="15"/>
      <c r="F87" s="15"/>
      <c r="G87" s="15"/>
      <c r="H87" s="15"/>
    </row>
    <row r="88" spans="1:8" s="22" customFormat="1" ht="18.75" customHeight="1" x14ac:dyDescent="0.25">
      <c r="A88" s="42" t="s">
        <v>584</v>
      </c>
      <c r="B88" s="42" t="s">
        <v>585</v>
      </c>
      <c r="C88" s="63">
        <f>5+5+7+5+4+4+7</f>
        <v>37</v>
      </c>
      <c r="D88" s="47">
        <v>7</v>
      </c>
      <c r="E88" s="15"/>
      <c r="F88" s="15"/>
      <c r="G88" s="15"/>
      <c r="H88" s="15"/>
    </row>
    <row r="89" spans="1:8" s="22" customFormat="1" ht="18.75" customHeight="1" x14ac:dyDescent="0.25">
      <c r="A89" s="42" t="s">
        <v>76</v>
      </c>
      <c r="B89" s="42" t="s">
        <v>919</v>
      </c>
      <c r="C89" s="63">
        <f>2.25+4+2.25+2.25+4+2.25+4+4+2.25+4+4</f>
        <v>35.25</v>
      </c>
      <c r="D89" s="47">
        <v>11</v>
      </c>
      <c r="E89" s="15"/>
      <c r="F89" s="15"/>
      <c r="G89" s="15"/>
      <c r="H89" s="15"/>
    </row>
    <row r="90" spans="1:8" s="22" customFormat="1" ht="18.75" customHeight="1" x14ac:dyDescent="0.25">
      <c r="A90" s="42" t="s">
        <v>107</v>
      </c>
      <c r="B90" s="42" t="s">
        <v>108</v>
      </c>
      <c r="C90" s="63">
        <f>5+5+4+5+6+5</f>
        <v>30</v>
      </c>
      <c r="D90" s="47">
        <v>6</v>
      </c>
      <c r="E90" s="15"/>
      <c r="F90" s="15"/>
      <c r="G90" s="15"/>
      <c r="H90" s="15"/>
    </row>
    <row r="91" spans="1:8" s="22" customFormat="1" ht="18.75" customHeight="1" x14ac:dyDescent="0.25">
      <c r="A91" s="42" t="s">
        <v>254</v>
      </c>
      <c r="B91" s="42" t="s">
        <v>255</v>
      </c>
      <c r="C91" s="48">
        <f>4.87+7.5+13+7.5</f>
        <v>32.870000000000005</v>
      </c>
      <c r="D91" s="47">
        <f>1+2+1</f>
        <v>4</v>
      </c>
      <c r="E91" s="15"/>
      <c r="F91" s="15"/>
      <c r="G91" s="15"/>
      <c r="H91" s="15"/>
    </row>
    <row r="92" spans="1:8" s="22" customFormat="1" ht="18.75" customHeight="1" x14ac:dyDescent="0.25">
      <c r="A92" s="42" t="s">
        <v>61</v>
      </c>
      <c r="B92" s="42" t="s">
        <v>574</v>
      </c>
      <c r="C92" s="45">
        <f>10+11+10</f>
        <v>31</v>
      </c>
      <c r="D92" s="47">
        <v>3</v>
      </c>
      <c r="E92" s="15"/>
      <c r="F92" s="15"/>
      <c r="G92" s="15"/>
      <c r="H92" s="15"/>
    </row>
    <row r="93" spans="1:8" s="22" customFormat="1" ht="18.75" customHeight="1" x14ac:dyDescent="0.25">
      <c r="A93" s="42" t="s">
        <v>107</v>
      </c>
      <c r="B93" s="42" t="s">
        <v>639</v>
      </c>
      <c r="C93" s="63">
        <f>4+4+5+5+4+5+5+4+4+4+5</f>
        <v>49</v>
      </c>
      <c r="D93" s="47">
        <v>11</v>
      </c>
      <c r="E93" s="15"/>
      <c r="F93" s="15"/>
      <c r="G93" s="15"/>
      <c r="H93" s="15"/>
    </row>
    <row r="94" spans="1:8" s="22" customFormat="1" ht="18.75" customHeight="1" x14ac:dyDescent="0.25">
      <c r="A94" s="42" t="s">
        <v>179</v>
      </c>
      <c r="B94" s="74" t="s">
        <v>906</v>
      </c>
      <c r="C94" s="63">
        <f>4+4+4+4+4+4+5</f>
        <v>29</v>
      </c>
      <c r="D94" s="47">
        <v>7</v>
      </c>
      <c r="E94" s="15"/>
      <c r="F94" s="15"/>
      <c r="G94" s="15"/>
      <c r="H94" s="15"/>
    </row>
    <row r="95" spans="1:8" s="22" customFormat="1" ht="18.75" customHeight="1" x14ac:dyDescent="0.25">
      <c r="A95" s="42" t="s">
        <v>123</v>
      </c>
      <c r="B95" s="42" t="s">
        <v>752</v>
      </c>
      <c r="C95" s="63">
        <f>16.5+20</f>
        <v>36.5</v>
      </c>
      <c r="D95" s="47">
        <v>2</v>
      </c>
      <c r="E95" s="15"/>
      <c r="F95" s="15"/>
      <c r="G95" s="15"/>
      <c r="H95" s="15"/>
    </row>
    <row r="96" spans="1:8" s="22" customFormat="1" ht="18.75" customHeight="1" x14ac:dyDescent="0.25">
      <c r="A96" s="42" t="s">
        <v>179</v>
      </c>
      <c r="B96" s="42" t="s">
        <v>310</v>
      </c>
      <c r="C96" s="45">
        <f>4+4+4+5+4+5+4+4+5+2.5+4</f>
        <v>45.5</v>
      </c>
      <c r="D96" s="47">
        <v>11</v>
      </c>
      <c r="E96" s="15"/>
      <c r="F96" s="15"/>
      <c r="G96" s="15"/>
      <c r="H96" s="15"/>
    </row>
    <row r="97" spans="1:8" s="22" customFormat="1" ht="18.75" customHeight="1" x14ac:dyDescent="0.25">
      <c r="A97" s="42" t="s">
        <v>140</v>
      </c>
      <c r="B97" s="42" t="s">
        <v>141</v>
      </c>
      <c r="C97" s="45">
        <f>2.5+5+4+7+2.5+4+4</f>
        <v>29</v>
      </c>
      <c r="D97" s="47">
        <f>2+2+1+1+1</f>
        <v>7</v>
      </c>
      <c r="E97" s="15"/>
      <c r="F97" s="15"/>
      <c r="G97" s="15"/>
      <c r="H97" s="15"/>
    </row>
    <row r="98" spans="1:8" s="22" customFormat="1" ht="18.75" customHeight="1" x14ac:dyDescent="0.25">
      <c r="A98" s="42" t="s">
        <v>184</v>
      </c>
      <c r="B98" s="42" t="s">
        <v>185</v>
      </c>
      <c r="C98" s="63">
        <f>3.33+4.1+3.5+3.3+4+3.1+3.2+3+3.2+3.2+3.25+4</f>
        <v>41.18</v>
      </c>
      <c r="D98" s="47">
        <v>12</v>
      </c>
      <c r="E98" s="15"/>
      <c r="F98" s="15"/>
      <c r="G98" s="15"/>
      <c r="H98" s="15"/>
    </row>
    <row r="99" spans="1:8" s="22" customFormat="1" ht="18.75" customHeight="1" x14ac:dyDescent="0.25">
      <c r="A99" s="42" t="s">
        <v>175</v>
      </c>
      <c r="B99" s="42" t="s">
        <v>176</v>
      </c>
      <c r="C99" s="45">
        <f>6+2.25+5+4+8.5+6+7</f>
        <v>38.75</v>
      </c>
      <c r="D99" s="47">
        <v>7</v>
      </c>
      <c r="E99" s="15"/>
      <c r="F99" s="15"/>
      <c r="G99" s="15"/>
      <c r="H99" s="15"/>
    </row>
    <row r="100" spans="1:8" s="22" customFormat="1" ht="18.75" customHeight="1" x14ac:dyDescent="0.25">
      <c r="A100" s="42" t="s">
        <v>616</v>
      </c>
      <c r="B100" s="42" t="s">
        <v>617</v>
      </c>
      <c r="C100" s="63">
        <f>7+11+7</f>
        <v>25</v>
      </c>
      <c r="D100" s="47">
        <v>3</v>
      </c>
      <c r="E100" s="15"/>
      <c r="F100" s="15"/>
      <c r="G100" s="15"/>
      <c r="H100" s="15"/>
    </row>
    <row r="101" spans="1:8" s="22" customFormat="1" ht="18.75" customHeight="1" x14ac:dyDescent="0.25">
      <c r="A101" s="42" t="s">
        <v>514</v>
      </c>
      <c r="B101" s="42" t="s">
        <v>515</v>
      </c>
      <c r="C101" s="63">
        <f>4+5+5+4+5+5+5+4+4+5</f>
        <v>46</v>
      </c>
      <c r="D101" s="47">
        <v>11</v>
      </c>
      <c r="E101" s="15"/>
      <c r="F101" s="15"/>
      <c r="G101" s="15"/>
      <c r="H101" s="15"/>
    </row>
    <row r="102" spans="1:8" s="22" customFormat="1" ht="18.75" customHeight="1" x14ac:dyDescent="0.25">
      <c r="A102" s="42" t="s">
        <v>160</v>
      </c>
      <c r="B102" s="42" t="s">
        <v>762</v>
      </c>
      <c r="C102" s="63">
        <f>7+7+7+7+7+5+7</f>
        <v>47</v>
      </c>
      <c r="D102" s="47">
        <v>7</v>
      </c>
      <c r="E102" s="15"/>
      <c r="F102" s="15"/>
      <c r="G102" s="15"/>
      <c r="H102" s="15"/>
    </row>
    <row r="103" spans="1:8" s="22" customFormat="1" ht="18.75" customHeight="1" x14ac:dyDescent="0.25">
      <c r="A103" s="42" t="s">
        <v>147</v>
      </c>
      <c r="B103" s="42" t="s">
        <v>148</v>
      </c>
      <c r="C103" s="45">
        <f>4+4+6.5+15+4+5+4+2.5</f>
        <v>45</v>
      </c>
      <c r="D103" s="47">
        <v>9</v>
      </c>
      <c r="E103" s="15"/>
      <c r="F103" s="15"/>
      <c r="G103" s="15"/>
      <c r="H103" s="15"/>
    </row>
    <row r="104" spans="1:8" s="22" customFormat="1" ht="18.75" customHeight="1" x14ac:dyDescent="0.25">
      <c r="A104" s="42" t="s">
        <v>159</v>
      </c>
      <c r="B104" s="42" t="s">
        <v>148</v>
      </c>
      <c r="C104" s="45">
        <f>4+5+5+4+5+4+4+5+4+4+4</f>
        <v>48</v>
      </c>
      <c r="D104" s="47">
        <v>11</v>
      </c>
      <c r="E104" s="15"/>
      <c r="F104" s="15"/>
      <c r="G104" s="15"/>
      <c r="H104" s="15"/>
    </row>
  </sheetData>
  <sortState ref="A3:D104">
    <sortCondition ref="B3:B104"/>
    <sortCondition ref="A3:A104"/>
  </sortState>
  <pageMargins left="0.7" right="0.45" top="0.7" bottom="0.5" header="0.3" footer="0.3"/>
  <pageSetup fitToHeight="5" orientation="landscape" r:id="rId1"/>
  <headerFooter>
    <oddHeader>&amp;R&amp;"-,Bold"&amp;14 25+ Miles&amp;"-,Regular"       &amp;11                                       &amp;K00+000.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view="pageBreakPreview" zoomScale="120" zoomScaleNormal="100" zoomScaleSheetLayoutView="120" workbookViewId="0">
      <selection activeCell="C3" sqref="C3"/>
    </sheetView>
  </sheetViews>
  <sheetFormatPr defaultColWidth="9.140625" defaultRowHeight="15" x14ac:dyDescent="0.25"/>
  <cols>
    <col min="1" max="2" width="18.7109375" style="11" customWidth="1"/>
    <col min="3" max="3" width="16.7109375" style="11" customWidth="1"/>
    <col min="4" max="4" width="8.7109375" style="11" customWidth="1"/>
    <col min="5" max="5" width="14.85546875" style="11" hidden="1" customWidth="1"/>
    <col min="6" max="7" width="14.85546875" style="11" customWidth="1"/>
    <col min="8" max="8" width="15.7109375" style="11" customWidth="1"/>
    <col min="9" max="16384" width="9.140625" style="19"/>
  </cols>
  <sheetData>
    <row r="1" spans="1:24" ht="23.25" customHeight="1" x14ac:dyDescent="0.3">
      <c r="A1" s="17" t="s">
        <v>902</v>
      </c>
      <c r="H1" s="18" t="s">
        <v>8</v>
      </c>
    </row>
    <row r="2" spans="1:24" ht="27" customHeight="1" x14ac:dyDescent="0.3">
      <c r="A2" s="20" t="s">
        <v>0</v>
      </c>
      <c r="B2" s="20" t="s">
        <v>1</v>
      </c>
      <c r="C2" s="16" t="s">
        <v>2</v>
      </c>
      <c r="D2" s="32" t="s">
        <v>328</v>
      </c>
      <c r="E2" s="8" t="s">
        <v>1061</v>
      </c>
      <c r="F2" s="14" t="s">
        <v>1058</v>
      </c>
      <c r="G2" s="7" t="s">
        <v>1059</v>
      </c>
      <c r="H2" s="35" t="s">
        <v>1060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s="22" customFormat="1" ht="21.75" customHeight="1" x14ac:dyDescent="0.25">
      <c r="A3" s="42" t="s">
        <v>74</v>
      </c>
      <c r="B3" s="42" t="s">
        <v>78</v>
      </c>
      <c r="C3" s="45">
        <f>5+4+5+5+5+5+5+5+5+5+4+4</f>
        <v>57</v>
      </c>
      <c r="D3" s="47">
        <v>12</v>
      </c>
      <c r="E3" s="15"/>
      <c r="F3" s="15"/>
      <c r="G3" s="15"/>
      <c r="H3" s="15"/>
    </row>
    <row r="4" spans="1:24" ht="21" customHeight="1" x14ac:dyDescent="0.25">
      <c r="A4" s="42" t="s">
        <v>670</v>
      </c>
      <c r="B4" s="42" t="s">
        <v>671</v>
      </c>
      <c r="C4" s="63">
        <f>2+2.5+3+2.5+2.5+3+2.5+2.5+3+3+2+3+3.5+2.5+3.5+2.5+4+4+4+2.5</f>
        <v>58</v>
      </c>
      <c r="D4" s="47">
        <v>20</v>
      </c>
    </row>
    <row r="5" spans="1:24" s="22" customFormat="1" ht="21.75" customHeight="1" x14ac:dyDescent="0.25">
      <c r="A5" s="42" t="s">
        <v>412</v>
      </c>
      <c r="B5" s="42" t="s">
        <v>231</v>
      </c>
      <c r="C5" s="45">
        <f>4+3+3+2.5+6+2.5+5+4+4+4+7+4+4+2.5+4+3+2.5+4+2.5+3</f>
        <v>74.5</v>
      </c>
      <c r="D5" s="47">
        <v>19</v>
      </c>
      <c r="E5" s="15"/>
      <c r="F5" s="15"/>
      <c r="G5" s="15"/>
      <c r="H5" s="15"/>
    </row>
    <row r="6" spans="1:24" s="22" customFormat="1" ht="21.75" customHeight="1" x14ac:dyDescent="0.25">
      <c r="A6" s="42" t="s">
        <v>418</v>
      </c>
      <c r="B6" s="42" t="s">
        <v>115</v>
      </c>
      <c r="C6" s="45">
        <f>3.5+4+4+4+3.4+5+2.5+2.5+4+5+5+2.5+4+2.25+3.3+3.5+2.5+2.5+3+4+3.5</f>
        <v>73.949999999999989</v>
      </c>
      <c r="D6" s="47">
        <v>21</v>
      </c>
      <c r="E6" s="15"/>
      <c r="F6" s="15"/>
      <c r="G6" s="15"/>
      <c r="H6" s="15"/>
    </row>
    <row r="7" spans="1:24" s="22" customFormat="1" ht="21.75" customHeight="1" x14ac:dyDescent="0.25">
      <c r="A7" s="42" t="s">
        <v>626</v>
      </c>
      <c r="B7" s="42" t="s">
        <v>627</v>
      </c>
      <c r="C7" s="63">
        <f>4+6+4+4+15+5+7+5</f>
        <v>50</v>
      </c>
      <c r="D7" s="47">
        <v>8</v>
      </c>
      <c r="E7" s="15"/>
      <c r="F7" s="15"/>
      <c r="G7" s="15"/>
      <c r="H7" s="15"/>
    </row>
    <row r="8" spans="1:24" s="22" customFormat="1" ht="21.75" customHeight="1" x14ac:dyDescent="0.25">
      <c r="A8" s="42" t="s">
        <v>36</v>
      </c>
      <c r="B8" s="42" t="s">
        <v>270</v>
      </c>
      <c r="C8" s="45">
        <f>7+12+4+7+5+7+4+3+4+4+6.2+1+5+3</f>
        <v>72.2</v>
      </c>
      <c r="D8" s="47">
        <v>14</v>
      </c>
      <c r="E8" s="15"/>
      <c r="F8" s="15"/>
      <c r="G8" s="15"/>
      <c r="H8" s="15"/>
    </row>
    <row r="9" spans="1:24" s="22" customFormat="1" ht="21.75" customHeight="1" x14ac:dyDescent="0.25">
      <c r="A9" s="42" t="s">
        <v>467</v>
      </c>
      <c r="B9" s="42" t="s">
        <v>468</v>
      </c>
      <c r="C9" s="45">
        <f>17.5+17.5+19+18</f>
        <v>72</v>
      </c>
      <c r="D9" s="47">
        <v>4</v>
      </c>
      <c r="E9" s="15"/>
      <c r="F9" s="15"/>
      <c r="G9" s="15"/>
      <c r="H9" s="15"/>
    </row>
    <row r="10" spans="1:24" s="22" customFormat="1" ht="21.75" customHeight="1" x14ac:dyDescent="0.25">
      <c r="A10" s="42" t="s">
        <v>104</v>
      </c>
      <c r="B10" s="42" t="s">
        <v>197</v>
      </c>
      <c r="C10" s="45">
        <f>10+15+11.5+17.5+15.25+9.25</f>
        <v>78.5</v>
      </c>
      <c r="D10" s="47">
        <v>6</v>
      </c>
      <c r="E10" s="15"/>
      <c r="F10" s="15"/>
      <c r="G10" s="15"/>
      <c r="H10" s="15"/>
    </row>
    <row r="11" spans="1:24" s="22" customFormat="1" ht="21.75" customHeight="1" x14ac:dyDescent="0.25">
      <c r="A11" s="42" t="s">
        <v>704</v>
      </c>
      <c r="B11" s="42" t="s">
        <v>705</v>
      </c>
      <c r="C11" s="45">
        <f>11+7.5+12+9+8.5+7</f>
        <v>55</v>
      </c>
      <c r="D11" s="47">
        <v>6</v>
      </c>
      <c r="E11" s="15"/>
      <c r="F11" s="15"/>
      <c r="G11" s="15"/>
      <c r="H11" s="15"/>
    </row>
    <row r="12" spans="1:24" s="22" customFormat="1" ht="21.75" customHeight="1" x14ac:dyDescent="0.25">
      <c r="A12" s="42" t="s">
        <v>130</v>
      </c>
      <c r="B12" s="42" t="s">
        <v>131</v>
      </c>
      <c r="C12" s="45">
        <f>4+3+1+2+2+2+2+2.5+2+3+3+4+4+10+2+6.2+4+4+5+4+4</f>
        <v>73.7</v>
      </c>
      <c r="D12" s="47">
        <v>21</v>
      </c>
      <c r="E12" s="15"/>
      <c r="F12" s="15"/>
      <c r="G12" s="15"/>
      <c r="H12" s="15"/>
    </row>
    <row r="13" spans="1:24" s="22" customFormat="1" ht="21.75" customHeight="1" x14ac:dyDescent="0.25">
      <c r="A13" s="42" t="s">
        <v>160</v>
      </c>
      <c r="B13" s="42" t="s">
        <v>544</v>
      </c>
      <c r="C13" s="45">
        <f>5+4+8+4+5+8.5+5+5+8+7+3</f>
        <v>62.5</v>
      </c>
      <c r="D13" s="47">
        <v>11</v>
      </c>
      <c r="E13" s="15"/>
      <c r="F13" s="15"/>
      <c r="G13" s="15"/>
      <c r="H13" s="15"/>
    </row>
    <row r="14" spans="1:24" s="22" customFormat="1" ht="21.75" customHeight="1" x14ac:dyDescent="0.25">
      <c r="A14" s="42" t="s">
        <v>102</v>
      </c>
      <c r="B14" s="42" t="s">
        <v>103</v>
      </c>
      <c r="C14" s="45">
        <f>2.5+4+3.5+2.5+4+4+5+2+4.5+3.5+5+4+2+5+4+4+4+4+2+5+6.2+3.1+4+4+3+4</f>
        <v>98.8</v>
      </c>
      <c r="D14" s="47">
        <v>26</v>
      </c>
      <c r="E14" s="15"/>
      <c r="F14" s="15"/>
      <c r="G14" s="15"/>
      <c r="H14" s="15"/>
    </row>
    <row r="15" spans="1:24" s="22" customFormat="1" ht="21.75" customHeight="1" x14ac:dyDescent="0.25">
      <c r="A15" s="42" t="s">
        <v>81</v>
      </c>
      <c r="B15" s="42" t="s">
        <v>469</v>
      </c>
      <c r="C15" s="45">
        <f>4+4+7+5+4+5+5+5+4+4+4+4+10+5+4+6+4+4</f>
        <v>88</v>
      </c>
      <c r="D15" s="47">
        <v>18</v>
      </c>
      <c r="E15" s="15"/>
      <c r="F15" s="15"/>
      <c r="G15" s="15"/>
      <c r="H15" s="15"/>
    </row>
    <row r="16" spans="1:24" s="22" customFormat="1" ht="21.75" customHeight="1" x14ac:dyDescent="0.25">
      <c r="A16" s="42" t="s">
        <v>651</v>
      </c>
      <c r="B16" s="42" t="s">
        <v>652</v>
      </c>
      <c r="C16" s="63">
        <f>6.26+5+4+2+4+5+7+4+4+4+5+5+5+4+5+5+4+5+4+4</f>
        <v>91.259999999999991</v>
      </c>
      <c r="D16" s="47">
        <v>20</v>
      </c>
      <c r="E16" s="15"/>
      <c r="F16" s="15"/>
      <c r="G16" s="15"/>
      <c r="H16" s="15"/>
    </row>
    <row r="17" spans="1:8" s="22" customFormat="1" ht="21.75" customHeight="1" x14ac:dyDescent="0.25">
      <c r="A17" s="42" t="s">
        <v>162</v>
      </c>
      <c r="B17" s="42" t="s">
        <v>163</v>
      </c>
      <c r="C17" s="45">
        <f>4+4+3.2+4+4+3+7.3+5+7+18+4</f>
        <v>63.5</v>
      </c>
      <c r="D17" s="47">
        <v>11</v>
      </c>
      <c r="E17" s="15"/>
      <c r="F17" s="15"/>
      <c r="G17" s="15"/>
      <c r="H17" s="15"/>
    </row>
    <row r="18" spans="1:8" s="22" customFormat="1" ht="21.75" customHeight="1" x14ac:dyDescent="0.25">
      <c r="A18" s="42" t="s">
        <v>187</v>
      </c>
      <c r="B18" s="42" t="s">
        <v>188</v>
      </c>
      <c r="C18" s="45">
        <f>5+5+5+5+5+5+5+5+5+5+5+5</f>
        <v>60</v>
      </c>
      <c r="D18" s="47">
        <v>12</v>
      </c>
      <c r="E18" s="15"/>
      <c r="F18" s="15"/>
      <c r="G18" s="15"/>
      <c r="H18" s="15"/>
    </row>
    <row r="19" spans="1:8" s="22" customFormat="1" ht="21.75" customHeight="1" x14ac:dyDescent="0.25">
      <c r="A19" s="42" t="s">
        <v>605</v>
      </c>
      <c r="B19" s="42" t="s">
        <v>606</v>
      </c>
      <c r="C19" s="45">
        <f>3+3+4+4+3+8+4+4+4+3.5+4+3+4+3</f>
        <v>54.5</v>
      </c>
      <c r="D19" s="47">
        <v>14</v>
      </c>
      <c r="E19" s="15"/>
      <c r="F19" s="15"/>
      <c r="G19" s="15"/>
      <c r="H19" s="15"/>
    </row>
    <row r="20" spans="1:8" s="22" customFormat="1" ht="21.75" customHeight="1" x14ac:dyDescent="0.25">
      <c r="A20" s="42" t="s">
        <v>155</v>
      </c>
      <c r="B20" s="42" t="s">
        <v>203</v>
      </c>
      <c r="C20" s="45">
        <f>5+5+5+5+5+5+4+4.5+5+4+5+7+5+5+4+4+5+5</f>
        <v>87.5</v>
      </c>
      <c r="D20" s="47">
        <v>18</v>
      </c>
      <c r="E20" s="15"/>
      <c r="F20" s="15"/>
      <c r="G20" s="15"/>
      <c r="H20" s="15"/>
    </row>
    <row r="21" spans="1:8" s="22" customFormat="1" ht="21.75" customHeight="1" x14ac:dyDescent="0.25">
      <c r="A21" s="42" t="s">
        <v>13</v>
      </c>
      <c r="B21" s="42" t="s">
        <v>264</v>
      </c>
      <c r="C21" s="45">
        <f>4+4+4+4+5+4+2.5+5+5+5+5+5.5</f>
        <v>53</v>
      </c>
      <c r="D21" s="47">
        <v>12</v>
      </c>
      <c r="E21" s="15"/>
      <c r="F21" s="15"/>
      <c r="G21" s="15"/>
      <c r="H21" s="15"/>
    </row>
    <row r="22" spans="1:8" ht="20.25" customHeight="1" x14ac:dyDescent="0.25">
      <c r="A22" s="42" t="s">
        <v>277</v>
      </c>
      <c r="B22" s="42" t="s">
        <v>383</v>
      </c>
      <c r="C22" s="45">
        <f>4+5+5+4+5+4+5+5+5+7+5+7</f>
        <v>61</v>
      </c>
      <c r="D22" s="47">
        <v>12</v>
      </c>
    </row>
    <row r="23" spans="1:8" s="22" customFormat="1" ht="21.75" customHeight="1" x14ac:dyDescent="0.25">
      <c r="A23" s="42" t="s">
        <v>265</v>
      </c>
      <c r="B23" s="42" t="s">
        <v>266</v>
      </c>
      <c r="C23" s="45">
        <f>5+5+5+5+5+5+5+5+5+5+5+5</f>
        <v>60</v>
      </c>
      <c r="D23" s="47">
        <v>12</v>
      </c>
      <c r="E23" s="15"/>
      <c r="F23" s="15"/>
      <c r="G23" s="15"/>
      <c r="H23" s="15"/>
    </row>
    <row r="24" spans="1:8" s="22" customFormat="1" ht="21.75" customHeight="1" x14ac:dyDescent="0.25">
      <c r="A24" s="42" t="s">
        <v>208</v>
      </c>
      <c r="B24" s="42" t="s">
        <v>209</v>
      </c>
      <c r="C24" s="45">
        <f>12+4+5+7+3+4+8+5+4+5+7+4+4+5</f>
        <v>77</v>
      </c>
      <c r="D24" s="47">
        <v>14</v>
      </c>
      <c r="E24" s="15"/>
      <c r="F24" s="15"/>
      <c r="G24" s="15"/>
      <c r="H24" s="15"/>
    </row>
    <row r="25" spans="1:8" s="22" customFormat="1" ht="21.75" customHeight="1" x14ac:dyDescent="0.25">
      <c r="A25" s="42" t="s">
        <v>336</v>
      </c>
      <c r="B25" s="42" t="s">
        <v>694</v>
      </c>
      <c r="C25" s="63">
        <f>4+8+8+8+10+14+10</f>
        <v>62</v>
      </c>
      <c r="D25" s="47">
        <v>7</v>
      </c>
      <c r="E25" s="15"/>
      <c r="F25" s="15"/>
      <c r="G25" s="15"/>
      <c r="H25" s="15"/>
    </row>
    <row r="26" spans="1:8" s="22" customFormat="1" ht="21.75" customHeight="1" x14ac:dyDescent="0.25">
      <c r="A26" s="42" t="s">
        <v>184</v>
      </c>
      <c r="B26" s="42" t="s">
        <v>269</v>
      </c>
      <c r="C26" s="45">
        <f>4+3+4+5+5+5+5+8+4+5+4.5+4+4+6</f>
        <v>66.5</v>
      </c>
      <c r="D26" s="47">
        <v>14</v>
      </c>
      <c r="E26" s="15"/>
      <c r="F26" s="15"/>
      <c r="G26" s="15"/>
      <c r="H26" s="15"/>
    </row>
    <row r="27" spans="1:8" ht="21" customHeight="1" x14ac:dyDescent="0.25">
      <c r="A27" s="42" t="s">
        <v>724</v>
      </c>
      <c r="B27" s="42" t="s">
        <v>737</v>
      </c>
      <c r="C27" s="63">
        <f>5+5+5+5+5+5+5+5+4+5+5</f>
        <v>54</v>
      </c>
      <c r="D27" s="47">
        <v>11</v>
      </c>
    </row>
    <row r="28" spans="1:8" s="22" customFormat="1" ht="21.75" customHeight="1" x14ac:dyDescent="0.25">
      <c r="A28" s="42" t="s">
        <v>111</v>
      </c>
      <c r="B28" s="42" t="s">
        <v>112</v>
      </c>
      <c r="C28" s="45">
        <f>2.3+2.2+2.25+2.35+2.7+3.5+2.3+2.25+2.5+4+2.3+2.25+2.25+2.25+3+4+2.3+2.3+2.3+2.3+2.3+2.3+5+6.2+2.3+2.3+2.3+2.3+2.3+2.3</f>
        <v>81.199999999999974</v>
      </c>
      <c r="D28" s="47">
        <v>30</v>
      </c>
      <c r="E28" s="15"/>
      <c r="F28" s="15"/>
      <c r="G28" s="15"/>
      <c r="H28" s="15"/>
    </row>
    <row r="29" spans="1:8" s="22" customFormat="1" ht="21.75" customHeight="1" x14ac:dyDescent="0.25">
      <c r="A29" s="42" t="s">
        <v>453</v>
      </c>
      <c r="B29" s="42" t="s">
        <v>454</v>
      </c>
      <c r="C29" s="45">
        <f>7.3+10+16+4+12+11</f>
        <v>60.3</v>
      </c>
      <c r="D29" s="47">
        <v>6</v>
      </c>
      <c r="E29" s="15"/>
      <c r="F29" s="15"/>
      <c r="G29" s="15"/>
      <c r="H29" s="15"/>
    </row>
    <row r="30" spans="1:8" s="22" customFormat="1" ht="21.75" customHeight="1" x14ac:dyDescent="0.25">
      <c r="A30" s="42" t="s">
        <v>128</v>
      </c>
      <c r="B30" s="42" t="s">
        <v>129</v>
      </c>
      <c r="C30" s="45">
        <f>14.5+5+5+5+6+12+5+12+5+7</f>
        <v>76.5</v>
      </c>
      <c r="D30" s="47">
        <v>10</v>
      </c>
      <c r="E30" s="15"/>
      <c r="F30" s="15"/>
      <c r="G30" s="15"/>
      <c r="H30" s="15"/>
    </row>
    <row r="31" spans="1:8" s="22" customFormat="1" ht="21.75" customHeight="1" x14ac:dyDescent="0.25">
      <c r="A31" s="42" t="s">
        <v>59</v>
      </c>
      <c r="B31" s="42" t="s">
        <v>143</v>
      </c>
      <c r="C31" s="45">
        <f>7+12+7+7+7+7+7+7+7+5+6+5+5</f>
        <v>89</v>
      </c>
      <c r="D31" s="47">
        <v>13</v>
      </c>
      <c r="E31" s="15"/>
      <c r="F31" s="15"/>
      <c r="G31" s="15"/>
      <c r="H31" s="15"/>
    </row>
    <row r="32" spans="1:8" s="22" customFormat="1" ht="21.75" customHeight="1" x14ac:dyDescent="0.25">
      <c r="A32" s="42" t="s">
        <v>26</v>
      </c>
      <c r="B32" s="42" t="s">
        <v>650</v>
      </c>
      <c r="C32" s="45">
        <f>5+7+8+7+5+5+8+7+7+7+5</f>
        <v>71</v>
      </c>
      <c r="D32" s="47">
        <v>11</v>
      </c>
      <c r="E32" s="15"/>
      <c r="F32" s="15"/>
      <c r="G32" s="15"/>
      <c r="H32" s="15"/>
    </row>
    <row r="33" spans="1:8" s="22" customFormat="1" ht="21.75" customHeight="1" x14ac:dyDescent="0.25">
      <c r="A33" s="42" t="s">
        <v>167</v>
      </c>
      <c r="B33" s="42" t="s">
        <v>168</v>
      </c>
      <c r="C33" s="45">
        <f>2.5+2.5+2.5+2.5+4+2.5+3+4.5+4.5+4.5+4.5+5+4+2.5+4+4+2.5+2.5+5</f>
        <v>67</v>
      </c>
      <c r="D33" s="47">
        <v>19</v>
      </c>
      <c r="E33" s="15"/>
      <c r="F33" s="15"/>
      <c r="G33" s="15"/>
      <c r="H33" s="15"/>
    </row>
    <row r="34" spans="1:8" ht="21" customHeight="1" x14ac:dyDescent="0.25">
      <c r="A34" s="42" t="s">
        <v>374</v>
      </c>
      <c r="B34" s="42" t="s">
        <v>375</v>
      </c>
      <c r="C34" s="45">
        <f>4+4+4+4+4+4+4+4+4+5+4+4+4</f>
        <v>53</v>
      </c>
      <c r="D34" s="47">
        <v>13</v>
      </c>
    </row>
    <row r="35" spans="1:8" s="22" customFormat="1" ht="21.75" customHeight="1" x14ac:dyDescent="0.25">
      <c r="A35" s="42" t="s">
        <v>119</v>
      </c>
      <c r="B35" s="42" t="s">
        <v>120</v>
      </c>
      <c r="C35" s="45">
        <f>12+8+12.5+17+7+8+8+7+7+0</f>
        <v>86.5</v>
      </c>
      <c r="D35" s="47">
        <v>10</v>
      </c>
      <c r="E35" s="15"/>
      <c r="F35" s="15"/>
      <c r="G35" s="15"/>
      <c r="H35" s="15"/>
    </row>
    <row r="36" spans="1:8" s="22" customFormat="1" ht="21.75" customHeight="1" x14ac:dyDescent="0.25">
      <c r="A36" s="42" t="s">
        <v>228</v>
      </c>
      <c r="B36" s="42" t="s">
        <v>397</v>
      </c>
      <c r="C36" s="45">
        <f>6.5+4+5+8+6.5+5+6.5+6+3+5+5+6.2+1+3.1+2.5+7.4+4</f>
        <v>84.7</v>
      </c>
      <c r="D36" s="47">
        <v>17</v>
      </c>
      <c r="E36" s="15"/>
      <c r="F36" s="15"/>
      <c r="G36" s="15"/>
      <c r="H36" s="15"/>
    </row>
    <row r="37" spans="1:8" s="22" customFormat="1" ht="21.75" customHeight="1" x14ac:dyDescent="0.25">
      <c r="A37" s="42" t="s">
        <v>155</v>
      </c>
      <c r="B37" s="42" t="s">
        <v>395</v>
      </c>
      <c r="C37" s="45">
        <f>5+5+5+5+5+5+5+5+5+5+5+5+5</f>
        <v>65</v>
      </c>
      <c r="D37" s="47">
        <v>13</v>
      </c>
      <c r="E37" s="15"/>
      <c r="F37" s="15"/>
      <c r="G37" s="15"/>
      <c r="H37" s="15"/>
    </row>
    <row r="38" spans="1:8" s="22" customFormat="1" ht="21.75" customHeight="1" x14ac:dyDescent="0.25">
      <c r="A38" s="42" t="s">
        <v>182</v>
      </c>
      <c r="B38" s="42" t="s">
        <v>769</v>
      </c>
      <c r="C38" s="63">
        <f>4+5+5+5+5+4+5+5+5+5+5+4+5+5</f>
        <v>67</v>
      </c>
      <c r="D38" s="47">
        <v>14</v>
      </c>
      <c r="E38" s="15"/>
      <c r="F38" s="15"/>
      <c r="G38" s="15"/>
      <c r="H38" s="15"/>
    </row>
    <row r="39" spans="1:8" s="22" customFormat="1" ht="21.75" customHeight="1" x14ac:dyDescent="0.25">
      <c r="A39" s="42" t="s">
        <v>26</v>
      </c>
      <c r="B39" s="42" t="s">
        <v>146</v>
      </c>
      <c r="C39" s="63">
        <f>2+4+4+4+2+2+4+2+7+4+4+4+4+4+4</f>
        <v>55</v>
      </c>
      <c r="D39" s="47">
        <v>15</v>
      </c>
      <c r="E39" s="15"/>
      <c r="F39" s="15"/>
      <c r="G39" s="15"/>
      <c r="H39" s="15"/>
    </row>
    <row r="40" spans="1:8" s="22" customFormat="1" ht="21.75" customHeight="1" x14ac:dyDescent="0.25">
      <c r="A40" s="42" t="s">
        <v>473</v>
      </c>
      <c r="B40" s="42" t="s">
        <v>146</v>
      </c>
      <c r="C40" s="63">
        <f>2+4+4+4+2+2+4+2+7+4+4+4+4+4+4</f>
        <v>55</v>
      </c>
      <c r="D40" s="47">
        <v>15</v>
      </c>
      <c r="E40" s="15"/>
      <c r="F40" s="15"/>
      <c r="G40" s="15"/>
      <c r="H40" s="15"/>
    </row>
    <row r="41" spans="1:8" s="22" customFormat="1" ht="21.75" customHeight="1" x14ac:dyDescent="0.25">
      <c r="A41" s="42" t="s">
        <v>420</v>
      </c>
      <c r="B41" s="42" t="s">
        <v>421</v>
      </c>
      <c r="C41" s="45">
        <f>4+4+6+4+5+4+5+5+6+7+7+5+12</f>
        <v>74</v>
      </c>
      <c r="D41" s="47">
        <v>13</v>
      </c>
      <c r="E41" s="15"/>
      <c r="F41" s="15"/>
      <c r="G41" s="15"/>
      <c r="H41" s="15"/>
    </row>
    <row r="42" spans="1:8" s="22" customFormat="1" ht="21.75" customHeight="1" x14ac:dyDescent="0.25">
      <c r="A42" s="42" t="s">
        <v>26</v>
      </c>
      <c r="B42" s="42" t="s">
        <v>27</v>
      </c>
      <c r="C42" s="45">
        <f>8+7+8+7+11+9+18</f>
        <v>68</v>
      </c>
      <c r="D42" s="47">
        <v>7</v>
      </c>
      <c r="E42" s="15"/>
      <c r="F42" s="15"/>
      <c r="G42" s="15"/>
      <c r="H42" s="15"/>
    </row>
    <row r="43" spans="1:8" s="22" customFormat="1" ht="21.75" customHeight="1" x14ac:dyDescent="0.25">
      <c r="A43" s="42" t="s">
        <v>51</v>
      </c>
      <c r="B43" s="42" t="s">
        <v>52</v>
      </c>
      <c r="C43" s="45">
        <f>10+6.5+5+7+6.5+5+8.4+5.5+6+7+6+4+4</f>
        <v>80.900000000000006</v>
      </c>
      <c r="D43" s="47">
        <v>13</v>
      </c>
      <c r="E43" s="15"/>
      <c r="F43" s="15"/>
      <c r="G43" s="15"/>
      <c r="H43" s="15"/>
    </row>
    <row r="44" spans="1:8" s="22" customFormat="1" ht="21.75" customHeight="1" x14ac:dyDescent="0.25">
      <c r="A44" s="42" t="s">
        <v>135</v>
      </c>
      <c r="B44" s="42" t="s">
        <v>64</v>
      </c>
      <c r="C44" s="45">
        <f>10+5+5+5+4+5+7+5+7.5+10</f>
        <v>63.5</v>
      </c>
      <c r="D44" s="47">
        <v>9</v>
      </c>
      <c r="E44" s="15"/>
      <c r="F44" s="15"/>
      <c r="G44" s="15"/>
      <c r="H44" s="15"/>
    </row>
    <row r="45" spans="1:8" s="22" customFormat="1" ht="21.75" customHeight="1" x14ac:dyDescent="0.25">
      <c r="A45" s="42" t="s">
        <v>20</v>
      </c>
      <c r="B45" s="42" t="s">
        <v>166</v>
      </c>
      <c r="C45" s="45">
        <f>4+4.5+3.75+3+3.75+4+4.5+3+7.75+4+4+4.5+3.75+2.75+4.25+3+2.75+4+2.5+4.33+6+5+5</f>
        <v>94.08</v>
      </c>
      <c r="D45" s="47">
        <v>23</v>
      </c>
      <c r="E45" s="15"/>
      <c r="F45" s="15"/>
      <c r="G45" s="15"/>
      <c r="H45" s="15"/>
    </row>
    <row r="46" spans="1:8" s="22" customFormat="1" ht="21.75" customHeight="1" x14ac:dyDescent="0.25">
      <c r="A46" s="42" t="s">
        <v>98</v>
      </c>
      <c r="B46" s="42" t="s">
        <v>99</v>
      </c>
      <c r="C46" s="45">
        <f>4+4+5+6+4+4+4+4+4+5+18+4+6+1+5+3+4</f>
        <v>85</v>
      </c>
      <c r="D46" s="47">
        <v>17</v>
      </c>
      <c r="E46" s="15"/>
      <c r="F46" s="15"/>
      <c r="G46" s="15"/>
      <c r="H46" s="15"/>
    </row>
    <row r="47" spans="1:8" s="22" customFormat="1" ht="21.75" customHeight="1" x14ac:dyDescent="0.25">
      <c r="A47" s="42" t="s">
        <v>13</v>
      </c>
      <c r="B47" s="42" t="s">
        <v>201</v>
      </c>
      <c r="C47" s="45">
        <f>7+7+7+4+4+7+4+5+5+4+4</f>
        <v>58</v>
      </c>
      <c r="D47" s="47">
        <v>11</v>
      </c>
      <c r="E47" s="15"/>
      <c r="F47" s="15"/>
      <c r="G47" s="15"/>
      <c r="H47" s="15"/>
    </row>
    <row r="48" spans="1:8" s="22" customFormat="1" ht="21.75" customHeight="1" x14ac:dyDescent="0.25">
      <c r="A48" s="42" t="s">
        <v>232</v>
      </c>
      <c r="B48" s="42" t="s">
        <v>58</v>
      </c>
      <c r="C48" s="45">
        <f>3.2+3.5+3.2+2.3+4+2.5+2.25+2.25+3+3+3.2+5+4+4+2.5+2.5+2.25+4+3.2+2.3+3.5+2.2+2.3+4.5+3</f>
        <v>77.650000000000006</v>
      </c>
      <c r="D48" s="47">
        <v>25</v>
      </c>
      <c r="E48" s="15"/>
      <c r="F48" s="15"/>
      <c r="G48" s="15"/>
      <c r="H48" s="15"/>
    </row>
    <row r="49" spans="1:8" s="22" customFormat="1" ht="21.75" customHeight="1" x14ac:dyDescent="0.25">
      <c r="A49" s="42" t="s">
        <v>195</v>
      </c>
      <c r="B49" s="42" t="s">
        <v>196</v>
      </c>
      <c r="C49" s="45">
        <f>4+5+5+4+4+5+5+4+5+5+4+5+5+5+5+4+4</f>
        <v>78</v>
      </c>
      <c r="D49" s="47">
        <v>18</v>
      </c>
      <c r="E49" s="15"/>
      <c r="F49" s="15"/>
      <c r="G49" s="15"/>
      <c r="H49" s="15"/>
    </row>
    <row r="50" spans="1:8" s="22" customFormat="1" ht="21.75" customHeight="1" x14ac:dyDescent="0.25">
      <c r="A50" s="42" t="s">
        <v>590</v>
      </c>
      <c r="B50" s="42" t="s">
        <v>591</v>
      </c>
      <c r="C50" s="45">
        <f>4+5+4+4+2.5+4+11+4+4+4+7+4</f>
        <v>57.5</v>
      </c>
      <c r="D50" s="47">
        <v>12</v>
      </c>
      <c r="E50" s="15"/>
      <c r="F50" s="15"/>
      <c r="G50" s="15"/>
      <c r="H50" s="15"/>
    </row>
    <row r="51" spans="1:8" s="22" customFormat="1" ht="21.75" customHeight="1" x14ac:dyDescent="0.25">
      <c r="A51" s="42" t="s">
        <v>139</v>
      </c>
      <c r="B51" s="42" t="s">
        <v>350</v>
      </c>
      <c r="C51" s="45">
        <f>5+5+5+12+5+5+5+5+5</f>
        <v>52</v>
      </c>
      <c r="D51" s="47">
        <v>9</v>
      </c>
      <c r="E51" s="15"/>
      <c r="F51" s="15"/>
      <c r="G51" s="15"/>
      <c r="H51" s="15"/>
    </row>
    <row r="52" spans="1:8" s="22" customFormat="1" ht="21.75" customHeight="1" x14ac:dyDescent="0.25">
      <c r="A52" s="42" t="s">
        <v>179</v>
      </c>
      <c r="B52" s="42" t="s">
        <v>330</v>
      </c>
      <c r="C52" s="48">
        <f>2.5+4+4+5+5+5+5+5+5+5+5+4+5+5+5+5+5</f>
        <v>79.5</v>
      </c>
      <c r="D52" s="47">
        <v>16</v>
      </c>
      <c r="E52" s="15"/>
      <c r="F52" s="15"/>
      <c r="G52" s="15"/>
      <c r="H52" s="15"/>
    </row>
    <row r="53" spans="1:8" ht="20.25" customHeight="1" x14ac:dyDescent="0.25">
      <c r="A53" s="42" t="s">
        <v>245</v>
      </c>
      <c r="B53" s="42" t="s">
        <v>246</v>
      </c>
      <c r="C53" s="45">
        <f>6+7+4+4+6+5+4+4+5+4+5</f>
        <v>54</v>
      </c>
      <c r="D53" s="47">
        <v>11</v>
      </c>
    </row>
    <row r="54" spans="1:8" s="22" customFormat="1" ht="21.75" customHeight="1" x14ac:dyDescent="0.25">
      <c r="A54" s="42" t="s">
        <v>377</v>
      </c>
      <c r="B54" s="42" t="s">
        <v>378</v>
      </c>
      <c r="C54" s="45">
        <f>7+7+7+7+7+7+7+7+7+4+5+5+7+5</f>
        <v>89</v>
      </c>
      <c r="D54" s="47">
        <v>14</v>
      </c>
      <c r="E54" s="15"/>
      <c r="F54" s="15"/>
      <c r="G54" s="15"/>
      <c r="H54" s="15"/>
    </row>
    <row r="55" spans="1:8" s="22" customFormat="1" ht="21.75" customHeight="1" x14ac:dyDescent="0.25">
      <c r="A55" s="42" t="s">
        <v>142</v>
      </c>
      <c r="B55" s="42" t="s">
        <v>667</v>
      </c>
      <c r="C55" s="63">
        <f>4+4+2.5+4+2.5+4+4+4+2.5+5+4+2.5+4+4+4+4</f>
        <v>59</v>
      </c>
      <c r="D55" s="47">
        <v>16</v>
      </c>
      <c r="E55" s="15"/>
      <c r="F55" s="15"/>
      <c r="G55" s="15"/>
      <c r="H55" s="15"/>
    </row>
    <row r="56" spans="1:8" s="22" customFormat="1" ht="21.75" customHeight="1" x14ac:dyDescent="0.25">
      <c r="A56" s="42" t="s">
        <v>149</v>
      </c>
      <c r="B56" s="42" t="s">
        <v>150</v>
      </c>
      <c r="C56" s="45">
        <f>4+4+4+11+4+4+5.5+3.5+4+5.5+3+6.25+4</f>
        <v>62.75</v>
      </c>
      <c r="D56" s="47">
        <v>13</v>
      </c>
      <c r="E56" s="15"/>
      <c r="F56" s="15"/>
      <c r="G56" s="15"/>
      <c r="H56" s="15"/>
    </row>
    <row r="57" spans="1:8" s="22" customFormat="1" ht="20.25" customHeight="1" x14ac:dyDescent="0.25">
      <c r="A57" s="42" t="s">
        <v>104</v>
      </c>
      <c r="B57" s="42" t="s">
        <v>105</v>
      </c>
      <c r="C57" s="63">
        <f>5+4+4+4+5+5+5+7+5+5+5+5</f>
        <v>59</v>
      </c>
      <c r="D57" s="47">
        <v>12</v>
      </c>
      <c r="E57" s="15"/>
      <c r="F57" s="15"/>
      <c r="G57" s="15"/>
      <c r="H57" s="15"/>
    </row>
    <row r="58" spans="1:8" s="22" customFormat="1" ht="21.75" customHeight="1" x14ac:dyDescent="0.25">
      <c r="A58" s="42" t="s">
        <v>428</v>
      </c>
      <c r="B58" s="42" t="s">
        <v>429</v>
      </c>
      <c r="C58" s="45">
        <f>5+5+8.5+8+4+8.5+14.25+8+4+7.5+6+6</f>
        <v>84.75</v>
      </c>
      <c r="D58" s="47">
        <v>12</v>
      </c>
      <c r="E58" s="15"/>
      <c r="F58" s="15"/>
      <c r="G58" s="15"/>
      <c r="H58" s="15"/>
    </row>
    <row r="59" spans="1:8" s="22" customFormat="1" ht="21.75" customHeight="1" x14ac:dyDescent="0.25">
      <c r="A59" s="42" t="s">
        <v>795</v>
      </c>
      <c r="B59" s="42" t="s">
        <v>701</v>
      </c>
      <c r="C59" s="45">
        <f>5+7+5+6+5+7+5+5+5+7+5+5+5+7+5</f>
        <v>84</v>
      </c>
      <c r="D59" s="47">
        <v>15</v>
      </c>
      <c r="E59" s="15"/>
      <c r="F59" s="15"/>
      <c r="G59" s="15"/>
      <c r="H59" s="15"/>
    </row>
    <row r="60" spans="1:8" s="22" customFormat="1" ht="21.75" customHeight="1" x14ac:dyDescent="0.25">
      <c r="A60" s="42" t="s">
        <v>61</v>
      </c>
      <c r="B60" s="42" t="s">
        <v>154</v>
      </c>
      <c r="C60" s="45">
        <f>5+5+8+5+5+4+5+5+4+4+5+4+5+5+5+5+4+4+5</f>
        <v>92</v>
      </c>
      <c r="D60" s="47">
        <v>19</v>
      </c>
      <c r="E60" s="15"/>
      <c r="F60" s="15"/>
      <c r="G60" s="15"/>
      <c r="H60" s="15"/>
    </row>
    <row r="61" spans="1:8" ht="19.5" customHeight="1" x14ac:dyDescent="0.25">
      <c r="A61" s="42" t="s">
        <v>20</v>
      </c>
      <c r="B61" s="42" t="s">
        <v>357</v>
      </c>
      <c r="C61" s="63">
        <f>4+4+4+4+4+2+4+4+4+4+4+4+5</f>
        <v>51</v>
      </c>
      <c r="D61" s="47">
        <v>13</v>
      </c>
    </row>
    <row r="62" spans="1:8" s="22" customFormat="1" ht="21.75" customHeight="1" x14ac:dyDescent="0.25">
      <c r="A62" s="42" t="s">
        <v>291</v>
      </c>
      <c r="B62" s="42" t="s">
        <v>95</v>
      </c>
      <c r="C62" s="45">
        <f>3+4+4+3+3+4+3+3+4+3+4+3+4+5+6.2+4+3+3+3+4+4</f>
        <v>77.2</v>
      </c>
      <c r="D62" s="47">
        <v>21</v>
      </c>
      <c r="E62" s="15"/>
      <c r="F62" s="15"/>
      <c r="G62" s="15"/>
      <c r="H62" s="15"/>
    </row>
    <row r="63" spans="1:8" s="22" customFormat="1" ht="21.75" customHeight="1" x14ac:dyDescent="0.25">
      <c r="A63" s="42" t="s">
        <v>221</v>
      </c>
      <c r="B63" s="42" t="s">
        <v>222</v>
      </c>
      <c r="C63" s="45">
        <f>2.5+2.5+2.5+2.5+2.5+2.5+2.5+2.5+5+2.5+2.5+0.5+2.5+3.5+4.2+4.2+4+2.5+2.5+2.5+2.5+6.2+1+3.1+2.5+2.5+2.5+2.5+2.5</f>
        <v>81.7</v>
      </c>
      <c r="D63" s="47">
        <v>29</v>
      </c>
      <c r="E63" s="15"/>
      <c r="F63" s="15"/>
      <c r="G63" s="15"/>
      <c r="H63" s="15"/>
    </row>
    <row r="64" spans="1:8" s="22" customFormat="1" ht="21.75" customHeight="1" x14ac:dyDescent="0.25">
      <c r="A64" s="42" t="s">
        <v>283</v>
      </c>
      <c r="B64" s="42" t="s">
        <v>284</v>
      </c>
      <c r="C64" s="45">
        <f>5+5+5+4+5+7+5+4+4+5+7+4+6+7+4+5+5+7.2+4</f>
        <v>98.2</v>
      </c>
      <c r="D64" s="47">
        <v>19</v>
      </c>
      <c r="E64" s="15"/>
      <c r="F64" s="15"/>
      <c r="G64" s="15"/>
      <c r="H64" s="15"/>
    </row>
    <row r="65" spans="1:8" s="22" customFormat="1" ht="21.75" customHeight="1" x14ac:dyDescent="0.25">
      <c r="A65" s="42" t="s">
        <v>116</v>
      </c>
      <c r="B65" s="42"/>
      <c r="C65" s="63">
        <f>3+4+3.96+5+5+4+5+4+5+5+5+6+5+4+5+5+5+6+6+5</f>
        <v>95.960000000000008</v>
      </c>
      <c r="D65" s="47">
        <v>19</v>
      </c>
      <c r="E65" s="15"/>
      <c r="F65" s="15"/>
      <c r="G65" s="15"/>
      <c r="H65" s="15"/>
    </row>
    <row r="84" ht="18" customHeight="1" x14ac:dyDescent="0.25"/>
  </sheetData>
  <sortState ref="A3:D65">
    <sortCondition ref="B3:B65"/>
    <sortCondition ref="A3:A65"/>
  </sortState>
  <pageMargins left="0.7" right="0.45" top="0.7" bottom="0.5" header="0.3" footer="0.3"/>
  <pageSetup fitToHeight="3" orientation="landscape" r:id="rId1"/>
  <headerFooter>
    <oddHeader xml:space="preserve">&amp;R&amp;"-,Bold"&amp;14 50+ Miles&amp;12       &amp;"-,Regular"&amp;11                                        &amp;K00+000.  &amp;K01+000      </oddHead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view="pageBreakPreview" zoomScale="120" zoomScaleNormal="110" zoomScaleSheetLayoutView="120" workbookViewId="0">
      <selection activeCell="C3" sqref="C3"/>
    </sheetView>
  </sheetViews>
  <sheetFormatPr defaultRowHeight="15" x14ac:dyDescent="0.25"/>
  <cols>
    <col min="1" max="2" width="18.7109375" style="19" customWidth="1"/>
    <col min="3" max="3" width="16.7109375" style="19" customWidth="1"/>
    <col min="4" max="4" width="9" style="19" customWidth="1"/>
    <col min="5" max="5" width="14.7109375" style="19" hidden="1" customWidth="1"/>
    <col min="6" max="7" width="14.7109375" style="19" customWidth="1"/>
    <col min="8" max="8" width="15.7109375" style="19" customWidth="1"/>
    <col min="9" max="16384" width="9.140625" style="19"/>
  </cols>
  <sheetData>
    <row r="1" spans="1:8" s="21" customFormat="1" ht="24" customHeight="1" x14ac:dyDescent="0.3">
      <c r="A1" s="29" t="s">
        <v>3</v>
      </c>
      <c r="C1" s="30"/>
      <c r="D1" s="30"/>
      <c r="E1" s="11"/>
      <c r="F1" s="11"/>
      <c r="G1" s="11"/>
      <c r="H1" s="18" t="s">
        <v>8</v>
      </c>
    </row>
    <row r="2" spans="1:8" ht="27" customHeight="1" x14ac:dyDescent="0.3">
      <c r="A2" s="20" t="s">
        <v>0</v>
      </c>
      <c r="B2" s="20" t="s">
        <v>1</v>
      </c>
      <c r="C2" s="16" t="s">
        <v>2</v>
      </c>
      <c r="D2" s="32" t="s">
        <v>328</v>
      </c>
      <c r="E2" s="8" t="s">
        <v>1061</v>
      </c>
      <c r="F2" s="14" t="s">
        <v>1058</v>
      </c>
      <c r="G2" s="7" t="s">
        <v>1059</v>
      </c>
      <c r="H2" s="35" t="s">
        <v>1060</v>
      </c>
    </row>
    <row r="3" spans="1:8" s="22" customFormat="1" ht="19.5" customHeight="1" x14ac:dyDescent="0.25">
      <c r="A3" s="42" t="s">
        <v>237</v>
      </c>
      <c r="B3" s="42" t="s">
        <v>238</v>
      </c>
      <c r="C3" s="45">
        <f>4+5+5+4+5+4+4+5+5+6+5+5+5+4+4+5+5+5+5+6.2+5+5+5+26.2+5+4</f>
        <v>146.4</v>
      </c>
      <c r="D3" s="47">
        <v>26</v>
      </c>
      <c r="E3" s="15"/>
      <c r="F3" s="15"/>
      <c r="G3" s="15"/>
      <c r="H3" s="15"/>
    </row>
    <row r="4" spans="1:8" s="22" customFormat="1" ht="19.5" customHeight="1" x14ac:dyDescent="0.25">
      <c r="A4" s="42" t="s">
        <v>96</v>
      </c>
      <c r="B4" s="42" t="s">
        <v>97</v>
      </c>
      <c r="C4" s="45">
        <f>9+10+9+10+18+13+14+11+20+7.5+13+8.5+9+7.8+8+5+4+6.2+6+8</f>
        <v>197</v>
      </c>
      <c r="D4" s="47">
        <v>22</v>
      </c>
      <c r="E4" s="15"/>
      <c r="F4" s="15"/>
      <c r="G4" s="15"/>
      <c r="H4" s="15"/>
    </row>
    <row r="5" spans="1:8" s="22" customFormat="1" ht="19.5" customHeight="1" x14ac:dyDescent="0.25">
      <c r="A5" s="42" t="s">
        <v>77</v>
      </c>
      <c r="B5" s="42" t="s">
        <v>78</v>
      </c>
      <c r="C5" s="45">
        <f>10+5+8+11+7+9+6+10+10+4+5+10+5+7+13+10+8+5+4</f>
        <v>147</v>
      </c>
      <c r="D5" s="47">
        <v>18</v>
      </c>
      <c r="E5" s="15"/>
      <c r="F5" s="15"/>
      <c r="G5" s="15"/>
      <c r="H5" s="15"/>
    </row>
    <row r="6" spans="1:8" s="22" customFormat="1" ht="19.5" customHeight="1" x14ac:dyDescent="0.25">
      <c r="A6" s="42" t="s">
        <v>419</v>
      </c>
      <c r="B6" s="42" t="s">
        <v>78</v>
      </c>
      <c r="C6" s="45">
        <f>4+4+4+6+4+5+4+4+15+4+4+4+5+5+5+4+5+6+6+4+6+4+15+7+4+5+11+4</f>
        <v>158</v>
      </c>
      <c r="D6" s="47">
        <v>28</v>
      </c>
      <c r="E6" s="15"/>
      <c r="F6" s="15"/>
      <c r="G6" s="15"/>
      <c r="H6" s="15"/>
    </row>
    <row r="7" spans="1:8" s="22" customFormat="1" ht="19.5" customHeight="1" x14ac:dyDescent="0.25">
      <c r="A7" s="42" t="s">
        <v>114</v>
      </c>
      <c r="B7" s="42" t="s">
        <v>115</v>
      </c>
      <c r="C7" s="45">
        <f>5+5+5+5+5+4+5+20.5+5+5+5+20+5+5+7.3+7+5.1+5+4.4+1+20+5+5+8+4+5+6.2+1+26.2+4+4</f>
        <v>217.69999999999996</v>
      </c>
      <c r="D7" s="47">
        <v>33</v>
      </c>
      <c r="E7" s="15"/>
      <c r="F7" s="15"/>
      <c r="G7" s="15"/>
      <c r="H7" s="15"/>
    </row>
    <row r="8" spans="1:8" s="22" customFormat="1" ht="19.5" customHeight="1" x14ac:dyDescent="0.25">
      <c r="A8" s="42" t="s">
        <v>135</v>
      </c>
      <c r="B8" s="42" t="s">
        <v>136</v>
      </c>
      <c r="C8" s="45">
        <f>4+3+2.5+4+4+5+4+4+4+4+2.5+4+9+4+4+4+7+5+2+5+4+5+2.5+4</f>
        <v>100.5</v>
      </c>
      <c r="D8" s="47">
        <v>24</v>
      </c>
      <c r="E8" s="15"/>
      <c r="F8" s="15"/>
      <c r="G8" s="15"/>
      <c r="H8" s="15"/>
    </row>
    <row r="9" spans="1:8" s="22" customFormat="1" ht="19.5" customHeight="1" x14ac:dyDescent="0.25">
      <c r="A9" s="42" t="s">
        <v>142</v>
      </c>
      <c r="B9" s="42" t="s">
        <v>271</v>
      </c>
      <c r="C9" s="45">
        <f>7+8+15+8+8+8+11+18+12.15+5+10+8+11+5+12.6+5+18+11+8+5+6+5+5+5+12+5+5+7+5+5+7+12</f>
        <v>272.75</v>
      </c>
      <c r="D9" s="47">
        <v>32</v>
      </c>
      <c r="E9" s="15"/>
      <c r="F9" s="15"/>
      <c r="G9" s="15"/>
      <c r="H9" s="15"/>
    </row>
    <row r="10" spans="1:8" s="22" customFormat="1" ht="19.5" customHeight="1" x14ac:dyDescent="0.25">
      <c r="A10" s="42" t="s">
        <v>13</v>
      </c>
      <c r="B10" s="42" t="s">
        <v>14</v>
      </c>
      <c r="C10" s="45">
        <f>8.5+8.5+10+5+12.5+2.25+11+8.5+12+5+11+9.2+9.5+5+5+10.7+7+12.3+5+13.5+5+10.5+10+11+10+11.5+8+11+5+6+13.1+10+7.6+7+10.5+4+11+7+12+8.3+12.5+7+11+1+3.1+6.8+10.5+4+6+26.2+4.7+2.3+4+5</f>
        <v>454.05000000000013</v>
      </c>
      <c r="D10" s="47">
        <v>54</v>
      </c>
      <c r="E10" s="15"/>
      <c r="F10" s="15"/>
      <c r="G10" s="15"/>
      <c r="H10" s="15"/>
    </row>
    <row r="11" spans="1:8" s="22" customFormat="1" ht="19.5" customHeight="1" x14ac:dyDescent="0.25">
      <c r="A11" s="42" t="s">
        <v>43</v>
      </c>
      <c r="B11" s="42" t="s">
        <v>44</v>
      </c>
      <c r="C11" s="45">
        <f>3+5+5+7+5+13+7+5+10+5+14+4+5.5+7+6+3+4+5+4+14.5+5+3+4.5+7+4+8+4.5+8+6+20.5+5+5+7+5+7.5+5+10+4+2.5+5+6.2+1+4.5+7.5+7.5+4.5+7.5+5+12.5+4.5+10+5+6+6.8</f>
        <v>347</v>
      </c>
      <c r="D11" s="47">
        <v>54</v>
      </c>
      <c r="E11" s="15"/>
      <c r="F11" s="15"/>
      <c r="G11" s="15"/>
      <c r="H11" s="15"/>
    </row>
    <row r="12" spans="1:8" s="22" customFormat="1" ht="19.5" customHeight="1" x14ac:dyDescent="0.25">
      <c r="A12" s="42" t="s">
        <v>47</v>
      </c>
      <c r="B12" s="42" t="s">
        <v>48</v>
      </c>
      <c r="C12" s="45">
        <f>5+7+7+7+14+8+7+6+1+2+2+2+1+2+2+2+3+3+4+4+4+4+5+5+6+5+5+5+7+5+7+5+5+7+5+7+5+7+7</f>
        <v>195</v>
      </c>
      <c r="D12" s="47">
        <v>40</v>
      </c>
      <c r="E12" s="15"/>
      <c r="F12" s="15"/>
      <c r="G12" s="15"/>
      <c r="H12" s="15"/>
    </row>
    <row r="13" spans="1:8" s="22" customFormat="1" ht="19.5" customHeight="1" x14ac:dyDescent="0.25">
      <c r="A13" s="42" t="s">
        <v>76</v>
      </c>
      <c r="B13" s="42" t="s">
        <v>307</v>
      </c>
      <c r="C13" s="45">
        <f>7+7+5+5+7+7+5+7+7+7+5+7.5+4+7+7+7+7+7+7+5+5+5+7</f>
        <v>144.5</v>
      </c>
      <c r="D13" s="47">
        <v>23</v>
      </c>
      <c r="E13" s="15"/>
      <c r="F13" s="15"/>
      <c r="G13" s="15"/>
      <c r="H13" s="15"/>
    </row>
    <row r="14" spans="1:8" s="22" customFormat="1" ht="19.5" customHeight="1" x14ac:dyDescent="0.25">
      <c r="A14" s="42" t="s">
        <v>173</v>
      </c>
      <c r="B14" s="42" t="s">
        <v>186</v>
      </c>
      <c r="C14" s="45">
        <f>4+3.5+4+4+4+3.5+2.5+4+6+4+5+3+4+4+3+3+4+5+5.6+4.5+4+5+5+3+4+4+4+5+6.2+1+3+6+4+3+2.5+3.1+26.2+2.5+4</f>
        <v>176.1</v>
      </c>
      <c r="D14" s="47">
        <v>39</v>
      </c>
      <c r="E14" s="15"/>
      <c r="F14" s="15"/>
      <c r="G14" s="15"/>
      <c r="H14" s="15"/>
    </row>
    <row r="15" spans="1:8" s="22" customFormat="1" ht="19.5" customHeight="1" x14ac:dyDescent="0.25">
      <c r="A15" s="42" t="s">
        <v>133</v>
      </c>
      <c r="B15" s="42" t="s">
        <v>134</v>
      </c>
      <c r="C15" s="45">
        <f>5+7+7+6+16+7+7+7+6+7+7+6+6+6+6+6+6+12+4+4+4+4+5+6+7+5+6+7+5+16+5+7+5+6+7+6+6+6+4+5+4+4+5+4+5+6+5+5+6+4+6+8+6+7+6+7+7+6+5+7+8+6+7+8+6+7+8+6+13+7+8+7+9+6+5+5+5+15</f>
        <v>509</v>
      </c>
      <c r="D15" s="47">
        <v>78</v>
      </c>
      <c r="E15" s="15"/>
      <c r="F15" s="15"/>
      <c r="G15" s="15"/>
      <c r="H15" s="15"/>
    </row>
    <row r="16" spans="1:8" s="22" customFormat="1" ht="19.5" customHeight="1" x14ac:dyDescent="0.25">
      <c r="A16" s="42" t="s">
        <v>72</v>
      </c>
      <c r="B16" s="42" t="s">
        <v>73</v>
      </c>
      <c r="C16" s="45">
        <f>11.5+7.1+3.1+5+11.5+5.1+11.1+7.2+18.1+11.1+7.2+10.1+9.1+12.1+7.2+12.7+7.1+18.1+11.1+10.5+5.1+6.1+11.5+16.1+7.1+11.5+5.1+6.3+5+8.5+7.2+7.3+10.1+11.1+11+10+9.2+5+11.6+11.1+8.1</f>
        <v>380.00000000000006</v>
      </c>
      <c r="D16" s="47">
        <v>41</v>
      </c>
      <c r="E16" s="15"/>
      <c r="F16" s="15"/>
      <c r="G16" s="15"/>
      <c r="H16" s="15"/>
    </row>
    <row r="17" spans="1:23" s="22" customFormat="1" ht="19.5" customHeight="1" x14ac:dyDescent="0.25">
      <c r="A17" s="42" t="s">
        <v>13</v>
      </c>
      <c r="B17" s="42" t="s">
        <v>191</v>
      </c>
      <c r="C17" s="45">
        <f>9+5+8+5+14.5+7+7.5+5.5+8.5+5+9+7+5+7+8.5+5+7+6+18+7+8+7+5+6+14+5+3+4+2.5</f>
        <v>209</v>
      </c>
      <c r="D17" s="47">
        <v>29</v>
      </c>
      <c r="E17" s="15"/>
      <c r="F17" s="15"/>
      <c r="G17" s="15"/>
      <c r="H17" s="15"/>
    </row>
    <row r="18" spans="1:23" s="22" customFormat="1" ht="19.5" customHeight="1" x14ac:dyDescent="0.25">
      <c r="A18" s="42" t="s">
        <v>37</v>
      </c>
      <c r="B18" s="42" t="s">
        <v>38</v>
      </c>
      <c r="C18" s="48">
        <f>4+5+7+5+5+5+5+7.2+4+5+4+5+4+7+6+6+3+4+5+7+8+5+7+6+5+2.5+2.5+5+4+4+4+4+7+3+5+6.2+1+4+5+5+9+3+4+4+6+9</f>
        <v>231.39999999999998</v>
      </c>
      <c r="D18" s="47">
        <v>46</v>
      </c>
      <c r="E18" s="15"/>
      <c r="F18" s="15"/>
      <c r="G18" s="15"/>
      <c r="H18" s="15"/>
    </row>
    <row r="19" spans="1:23" s="22" customFormat="1" ht="19.5" customHeight="1" x14ac:dyDescent="0.25">
      <c r="A19" s="42" t="s">
        <v>342</v>
      </c>
      <c r="B19" s="42" t="s">
        <v>190</v>
      </c>
      <c r="C19" s="45">
        <f>4+15+5+5+5+5+4+20+8+6+16+4+5+5+5+4+3+4+8+5+6+5+5+5+5+5</f>
        <v>167</v>
      </c>
      <c r="D19" s="47">
        <v>26</v>
      </c>
      <c r="E19" s="15"/>
      <c r="F19" s="15"/>
      <c r="G19" s="15"/>
      <c r="H19" s="15"/>
    </row>
    <row r="20" spans="1:23" s="22" customFormat="1" ht="19.5" customHeight="1" x14ac:dyDescent="0.25">
      <c r="A20" s="42" t="s">
        <v>109</v>
      </c>
      <c r="B20" s="42" t="s">
        <v>110</v>
      </c>
      <c r="C20" s="45">
        <f>7+4+4+11+6+3+6+4+5+6+5.5+4+9+3+5+7+11+7+5+9</f>
        <v>121.5</v>
      </c>
      <c r="D20" s="47">
        <v>20</v>
      </c>
      <c r="E20" s="15"/>
      <c r="F20" s="15"/>
      <c r="G20" s="15"/>
      <c r="H20" s="15"/>
    </row>
    <row r="21" spans="1:23" s="22" customFormat="1" ht="19.5" customHeight="1" x14ac:dyDescent="0.25">
      <c r="A21" s="42" t="s">
        <v>24</v>
      </c>
      <c r="B21" s="42" t="s">
        <v>413</v>
      </c>
      <c r="C21" s="45">
        <f>4+5+4+5+5+5+5+5+5+7+4+6+5+8+5+7+4+5+7+5+7+7+5+15+5+7+5+5+7+5+4+4+4+5+5</f>
        <v>196</v>
      </c>
      <c r="D21" s="47">
        <v>35</v>
      </c>
      <c r="E21" s="15"/>
      <c r="F21" s="15"/>
      <c r="G21" s="15"/>
      <c r="H21" s="15"/>
    </row>
    <row r="22" spans="1:23" s="22" customFormat="1" ht="19.5" customHeight="1" x14ac:dyDescent="0.25">
      <c r="A22" s="42" t="s">
        <v>17</v>
      </c>
      <c r="B22" s="42" t="s">
        <v>101</v>
      </c>
      <c r="C22" s="45">
        <f>9+10+18+13+14+12+9+12+12+12+12+12+13.5+9+7+15+10+11+11+11+5+11.5+12+10+21+12+13+13+5+8+7+13+11+5+5+6.2+11+8+2+4+0</f>
        <v>415.2</v>
      </c>
      <c r="D22" s="47">
        <v>41</v>
      </c>
      <c r="E22" s="15"/>
      <c r="F22" s="15"/>
      <c r="G22" s="15"/>
      <c r="H22" s="15"/>
    </row>
    <row r="23" spans="1:23" s="22" customFormat="1" ht="19.5" customHeight="1" x14ac:dyDescent="0.25">
      <c r="A23" s="42" t="s">
        <v>100</v>
      </c>
      <c r="B23" s="42" t="s">
        <v>101</v>
      </c>
      <c r="C23" s="45">
        <f>11.5+9+11+18+13+7+11+9.5+12+11+10+18+11+14.5+12+7+13.5+9.5+9.5+12+7.5+5.5+7+10+5+7.5+18+13+9.5+11+8+5+7+8+8+8+19+12.5+9+7+12.5+7+9</f>
        <v>444</v>
      </c>
      <c r="D23" s="47">
        <v>43</v>
      </c>
      <c r="E23" s="15"/>
      <c r="F23" s="15"/>
      <c r="G23" s="15"/>
      <c r="H23" s="15"/>
    </row>
    <row r="24" spans="1:23" s="22" customFormat="1" ht="19.5" customHeight="1" x14ac:dyDescent="0.25">
      <c r="A24" s="42" t="s">
        <v>292</v>
      </c>
      <c r="B24" s="42" t="s">
        <v>293</v>
      </c>
      <c r="C24" s="45">
        <f>4+5+4+6+5+6+6+6+6+6+7+6+7+6+6+4+6+6+7+4+7+6+7</f>
        <v>133</v>
      </c>
      <c r="D24" s="47">
        <v>23</v>
      </c>
      <c r="E24" s="15"/>
      <c r="F24" s="15"/>
      <c r="G24" s="15"/>
      <c r="H24" s="15"/>
    </row>
    <row r="25" spans="1:23" s="22" customFormat="1" ht="19.5" customHeight="1" x14ac:dyDescent="0.25">
      <c r="A25" s="42" t="s">
        <v>32</v>
      </c>
      <c r="B25" s="42" t="s">
        <v>33</v>
      </c>
      <c r="C25" s="45">
        <f>7+8+4+10+5+7.25+4.25+5+2.5+5.5+4+4+12.25+8.2+4+4+6+7+3+6+19+8+7+4+7+9+7+10+6+16+4+4+7+4+5+4+7</f>
        <v>244.95</v>
      </c>
      <c r="D25" s="47">
        <v>37</v>
      </c>
      <c r="E25" s="15"/>
      <c r="F25" s="15"/>
      <c r="G25" s="15"/>
      <c r="H25" s="15"/>
    </row>
    <row r="26" spans="1:23" s="22" customFormat="1" ht="19.5" customHeight="1" x14ac:dyDescent="0.25">
      <c r="A26" s="42" t="s">
        <v>22</v>
      </c>
      <c r="B26" s="42" t="s">
        <v>23</v>
      </c>
      <c r="C26" s="48">
        <f>4+5+7+7+7+7+14+7.5+8+7+6+8.5+5+5+7+5+18+5+9+7+4+8.5+7+2.5+8+4+8.5+5+16.5+2.5+7.5+5+6+4+2.5+8+3+2.5+4+12+2+7+7+6+5+1+7+1+5+5+2.5+4+2.5+2+5+5+5+5+7+2.5+7+5+6+7+4+7.5+7</f>
        <v>400</v>
      </c>
      <c r="D26" s="47">
        <v>67</v>
      </c>
      <c r="E26" s="15"/>
      <c r="F26" s="15"/>
      <c r="G26" s="15"/>
      <c r="H26" s="15"/>
    </row>
    <row r="27" spans="1:23" s="22" customFormat="1" ht="19.5" customHeight="1" x14ac:dyDescent="0.25">
      <c r="A27" s="42" t="s">
        <v>258</v>
      </c>
      <c r="B27" s="42" t="s">
        <v>259</v>
      </c>
      <c r="C27" s="45">
        <f>10+9.2+8+10+11+11+5+10+7+10+7+6.5+14+10+10.2+9+11.5+8</f>
        <v>167.39999999999998</v>
      </c>
      <c r="D27" s="47">
        <v>18</v>
      </c>
      <c r="E27" s="15"/>
      <c r="F27" s="15"/>
      <c r="G27" s="15"/>
      <c r="H27" s="15"/>
    </row>
    <row r="28" spans="1:23" s="22" customFormat="1" ht="19.5" customHeight="1" x14ac:dyDescent="0.25">
      <c r="A28" s="42" t="s">
        <v>15</v>
      </c>
      <c r="B28" s="42" t="s">
        <v>16</v>
      </c>
      <c r="C28" s="45">
        <f>9+11.5+8.5+9+11+8+18+8+13+8+8+11+8+8.5+12+8+10+12+18+9+11+8+8+10+8+9.5+12+8+105+13+9+18+11+10.5+8+11.75+7.25+5+7+10+5+7+9.5+8+18+10+12+8+10+13+8+11+8+5+5+10+8+23+9.5+13+8+5+6.2+1+13+5+4+5+4+0+4+4+4+5+4+4+5+5</f>
        <v>785.7</v>
      </c>
      <c r="D28" s="47">
        <v>78</v>
      </c>
      <c r="E28" s="15"/>
      <c r="F28" s="15"/>
      <c r="G28" s="15"/>
      <c r="H28" s="15"/>
    </row>
    <row r="29" spans="1:23" s="22" customFormat="1" ht="19.5" customHeight="1" x14ac:dyDescent="0.25">
      <c r="A29" s="42" t="s">
        <v>177</v>
      </c>
      <c r="B29" s="42" t="s">
        <v>178</v>
      </c>
      <c r="C29" s="45">
        <f>4+2.25+4+5+5+5+5+4+6.5+4+12+5+5+4+4+4+4+4+5+4+5+5+5</f>
        <v>110.75</v>
      </c>
      <c r="D29" s="47">
        <v>23</v>
      </c>
      <c r="E29" s="15"/>
      <c r="F29" s="15"/>
      <c r="G29" s="15"/>
      <c r="H29" s="15"/>
    </row>
    <row r="30" spans="1:23" s="22" customFormat="1" ht="19.5" customHeight="1" x14ac:dyDescent="0.25">
      <c r="A30" s="42" t="s">
        <v>256</v>
      </c>
      <c r="B30" s="42" t="s">
        <v>257</v>
      </c>
      <c r="C30" s="45">
        <f>5+5+5+5+5.5+7+5.5+5.5+6+5+6+4+5+5+4+6+11+5.7</f>
        <v>101.2</v>
      </c>
      <c r="D30" s="47">
        <v>18</v>
      </c>
      <c r="E30" s="15"/>
      <c r="F30" s="15"/>
      <c r="G30" s="15"/>
      <c r="H30" s="15"/>
    </row>
    <row r="31" spans="1:23" ht="19.5" customHeight="1" x14ac:dyDescent="0.3">
      <c r="A31" s="42" t="s">
        <v>333</v>
      </c>
      <c r="B31" s="42" t="s">
        <v>106</v>
      </c>
      <c r="C31" s="48">
        <f>4+5+5+5+5+5+5+5+5+5+5+5+5+4+4+4+5+5+5+5+5+5+4+5+5+5+5+5+5+5+5+5+4+5+4+5+4+5+4+5+5+5+4</f>
        <v>205</v>
      </c>
      <c r="D31" s="47">
        <v>43</v>
      </c>
      <c r="E31" s="26"/>
      <c r="F31" s="27"/>
      <c r="G31" s="27"/>
      <c r="H31" s="28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s="22" customFormat="1" ht="19.5" customHeight="1" x14ac:dyDescent="0.25">
      <c r="A32" s="42" t="s">
        <v>215</v>
      </c>
      <c r="B32" s="42" t="s">
        <v>216</v>
      </c>
      <c r="C32" s="45">
        <f>4.2+3.5+6+4+5+3.5+4+5+4+4+3.5+2.5+2.5+2.5+4+2.5+2.5+4+4.5+5+10+4+4+3+2.5+4+2.5+3.5+3+4+2.5+3+4.5+5+3.5+2+1.5+4+5+2.5+2+5+6.2+3+4+2+2+2+3+2</f>
        <v>181.89999999999998</v>
      </c>
      <c r="D32" s="47">
        <v>50</v>
      </c>
      <c r="E32" s="15"/>
      <c r="F32" s="15"/>
      <c r="G32" s="15"/>
      <c r="H32" s="15"/>
    </row>
    <row r="33" spans="1:8" s="22" customFormat="1" ht="19.5" customHeight="1" x14ac:dyDescent="0.25">
      <c r="A33" s="42" t="s">
        <v>26</v>
      </c>
      <c r="B33" s="42" t="s">
        <v>250</v>
      </c>
      <c r="C33" s="45">
        <f>5+10.5+11+11.1+17.4+12.1+11.2+11.2+13+8+10+12.5+8+8.5+9+15+10.2+10.6+10+9.9+12+6+6.6+10.4+5</f>
        <v>254.2</v>
      </c>
      <c r="D33" s="47">
        <v>24</v>
      </c>
      <c r="E33" s="15"/>
      <c r="F33" s="15"/>
      <c r="G33" s="15"/>
      <c r="H33" s="15"/>
    </row>
    <row r="34" spans="1:8" s="22" customFormat="1" ht="19.5" customHeight="1" x14ac:dyDescent="0.25">
      <c r="A34" s="42" t="s">
        <v>126</v>
      </c>
      <c r="B34" s="42" t="s">
        <v>127</v>
      </c>
      <c r="C34" s="45">
        <f>10+5+5+5+5+4+15+5+5+5+5+16+5+5+5+5+7+7.5+5+7.5</f>
        <v>132</v>
      </c>
      <c r="D34" s="47">
        <v>20</v>
      </c>
      <c r="E34" s="15"/>
      <c r="F34" s="15"/>
      <c r="G34" s="15"/>
      <c r="H34" s="15"/>
    </row>
    <row r="35" spans="1:8" s="22" customFormat="1" ht="19.5" customHeight="1" x14ac:dyDescent="0.25">
      <c r="A35" s="42" t="s">
        <v>192</v>
      </c>
      <c r="B35" s="42" t="s">
        <v>193</v>
      </c>
      <c r="C35" s="45">
        <f>9.5+10+17.5+8+13+12.5+11+13+11.5+13+12+21.5+14+12+13+10+13+12+14+13+19+15+11+14.5+11+14.5+12+10.5+12+8+7+9+5+12+10+8.5</f>
        <v>432.5</v>
      </c>
      <c r="D35" s="47">
        <v>36</v>
      </c>
      <c r="E35" s="15"/>
      <c r="F35" s="15"/>
      <c r="G35" s="15"/>
      <c r="H35" s="15"/>
    </row>
    <row r="36" spans="1:8" s="22" customFormat="1" ht="19.5" customHeight="1" x14ac:dyDescent="0.25">
      <c r="A36" s="42" t="s">
        <v>30</v>
      </c>
      <c r="B36" s="42" t="s">
        <v>31</v>
      </c>
      <c r="C36" s="45">
        <f>7+9+7+15+7.5+9+7+13+9+5+8+9+7+8+10.5+5+15+6+7.5+6.5+6+5+5+7+7+6+6+5+6+6+6+5+7+7+6+5</f>
        <v>266</v>
      </c>
      <c r="D36" s="47">
        <v>36</v>
      </c>
      <c r="E36" s="15"/>
      <c r="F36" s="15"/>
      <c r="G36" s="15"/>
      <c r="H36" s="15"/>
    </row>
    <row r="37" spans="1:8" s="22" customFormat="1" ht="19.5" customHeight="1" x14ac:dyDescent="0.25">
      <c r="A37" s="42" t="s">
        <v>55</v>
      </c>
      <c r="B37" s="42" t="s">
        <v>56</v>
      </c>
      <c r="C37" s="45">
        <f>10+7+7+1+7+7+6+5+18+6+4+4+8+5+5+6+5+7+5+6.2+1+7+7+5+5+5+6+7</f>
        <v>172.2</v>
      </c>
      <c r="D37" s="47">
        <v>28</v>
      </c>
      <c r="E37" s="15"/>
      <c r="F37" s="15"/>
      <c r="G37" s="15"/>
      <c r="H37" s="15"/>
    </row>
    <row r="38" spans="1:8" s="22" customFormat="1" ht="19.5" customHeight="1" x14ac:dyDescent="0.25">
      <c r="A38" s="42" t="s">
        <v>84</v>
      </c>
      <c r="B38" s="42" t="s">
        <v>85</v>
      </c>
      <c r="C38" s="45">
        <f>7+5+5+5+8.5+7+6+5+15+7+7+7+9+5+7+6+5+4+4+7+4+6+4+8+6+4+3+5+4</f>
        <v>175.5</v>
      </c>
      <c r="D38" s="47">
        <v>29</v>
      </c>
      <c r="E38" s="15"/>
      <c r="F38" s="15"/>
      <c r="G38" s="15"/>
      <c r="H38" s="15"/>
    </row>
    <row r="39" spans="1:8" s="22" customFormat="1" ht="19.5" customHeight="1" x14ac:dyDescent="0.25">
      <c r="A39" s="42" t="s">
        <v>443</v>
      </c>
      <c r="B39" s="42" t="s">
        <v>266</v>
      </c>
      <c r="C39" s="45">
        <f>5+5+7+5+5+5+7+7+8+5+7+7+5+6+8+7+7+7+7+5+5+5+7+6+5+5</f>
        <v>158</v>
      </c>
      <c r="D39" s="47">
        <v>25</v>
      </c>
      <c r="E39" s="15"/>
      <c r="F39" s="15"/>
      <c r="G39" s="15"/>
      <c r="H39" s="15"/>
    </row>
    <row r="40" spans="1:8" s="22" customFormat="1" ht="19.5" customHeight="1" x14ac:dyDescent="0.25">
      <c r="A40" s="42" t="s">
        <v>160</v>
      </c>
      <c r="B40" s="42" t="s">
        <v>253</v>
      </c>
      <c r="C40" s="45">
        <f>7+5+7.5+5+6+7+12+5+5+5+7+4+5+4+7+5+5+5+5</f>
        <v>111.5</v>
      </c>
      <c r="D40" s="47">
        <v>19</v>
      </c>
      <c r="E40" s="15"/>
      <c r="F40" s="15"/>
      <c r="G40" s="15"/>
      <c r="H40" s="15"/>
    </row>
    <row r="41" spans="1:8" s="22" customFormat="1" ht="19.5" customHeight="1" x14ac:dyDescent="0.25">
      <c r="A41" s="42" t="s">
        <v>227</v>
      </c>
      <c r="B41" s="42" t="s">
        <v>290</v>
      </c>
      <c r="C41" s="45">
        <f>8+7+7+5+5+6+6+7+8+6+4+7+6+6+6+7+4+7+5+7+5+5+5+6+7</f>
        <v>152</v>
      </c>
      <c r="D41" s="47">
        <v>25</v>
      </c>
      <c r="E41" s="15"/>
      <c r="F41" s="15"/>
      <c r="G41" s="15"/>
      <c r="H41" s="15"/>
    </row>
    <row r="42" spans="1:8" s="22" customFormat="1" ht="19.5" customHeight="1" x14ac:dyDescent="0.25">
      <c r="A42" s="42" t="s">
        <v>28</v>
      </c>
      <c r="B42" s="42" t="s">
        <v>29</v>
      </c>
      <c r="C42" s="45">
        <f>4+5.5+7.5+2.5+4+5+5+4+6.5+5+2.5+5+5+15.5+8+5+5+4+2.5+8+10.5+2+7+7+6+5+1+7+7.5+1+4+5+4+2.5+4+5+7+5+2.5+4+5+6+7+7.5</f>
        <v>232</v>
      </c>
      <c r="D42" s="47">
        <v>43</v>
      </c>
      <c r="E42" s="15"/>
      <c r="F42" s="15"/>
      <c r="G42" s="15"/>
      <c r="H42" s="15"/>
    </row>
    <row r="43" spans="1:8" s="22" customFormat="1" ht="19.5" customHeight="1" x14ac:dyDescent="0.25">
      <c r="A43" s="42" t="s">
        <v>123</v>
      </c>
      <c r="B43" s="42" t="s">
        <v>124</v>
      </c>
      <c r="C43" s="45">
        <f>5+8+5+5+5+1+5+5+5+4+5+5+5.5+5+5.1+5+5+5+3.5+3+5+3</f>
        <v>103.1</v>
      </c>
      <c r="D43" s="47">
        <v>22</v>
      </c>
      <c r="E43" s="15"/>
      <c r="F43" s="15"/>
      <c r="G43" s="15"/>
      <c r="H43" s="15"/>
    </row>
    <row r="44" spans="1:8" s="22" customFormat="1" ht="19.5" customHeight="1" x14ac:dyDescent="0.25">
      <c r="A44" s="42" t="s">
        <v>206</v>
      </c>
      <c r="B44" s="42" t="s">
        <v>207</v>
      </c>
      <c r="C44" s="45">
        <f>5+7+7+7+1+5+5+7+5+7+6+5+6+7+8+8+8+5+15</f>
        <v>124</v>
      </c>
      <c r="D44" s="47">
        <v>19</v>
      </c>
      <c r="E44" s="15"/>
      <c r="F44" s="15"/>
      <c r="G44" s="15"/>
      <c r="H44" s="15"/>
    </row>
    <row r="45" spans="1:8" s="22" customFormat="1" ht="19.5" customHeight="1" x14ac:dyDescent="0.25">
      <c r="A45" s="42" t="s">
        <v>67</v>
      </c>
      <c r="B45" s="42" t="s">
        <v>68</v>
      </c>
      <c r="C45" s="45">
        <f>15+5+11.5+10+20+14+5+10+14+16+12+13+10.5+12+5+7+9+12+10</f>
        <v>211</v>
      </c>
      <c r="D45" s="47">
        <v>19</v>
      </c>
      <c r="E45" s="15"/>
      <c r="F45" s="15"/>
      <c r="G45" s="15"/>
      <c r="H45" s="15"/>
    </row>
    <row r="46" spans="1:8" s="22" customFormat="1" ht="19.5" customHeight="1" x14ac:dyDescent="0.25">
      <c r="A46" s="42" t="s">
        <v>41</v>
      </c>
      <c r="B46" s="42" t="s">
        <v>42</v>
      </c>
      <c r="C46" s="45">
        <f>2+2.5+3+3+2.5+7+4+5+4+4+5+4+4+2+2.5+3.5+2.5+11+2+5+4+5+7+2.5+5+7+2+5+7+2.5+15+4+6+4+5+3.5+2+5+2+5+6+2.5+4+3.5+4+2+4+2+5+7.5+2.5+5+4+5.5+4+2.5+5+2.5+2.5+6.2+1+2+4+2.5+5+4+2.5+3.1+2.5+4+6+4+3.5+2+26.2+2+2.5+10+2</f>
        <v>346</v>
      </c>
      <c r="D46" s="47">
        <v>79</v>
      </c>
      <c r="E46" s="15"/>
      <c r="F46" s="15"/>
      <c r="G46" s="15"/>
      <c r="H46" s="15"/>
    </row>
    <row r="47" spans="1:8" s="22" customFormat="1" ht="19.5" customHeight="1" x14ac:dyDescent="0.25">
      <c r="A47" s="42" t="s">
        <v>294</v>
      </c>
      <c r="B47" s="42" t="s">
        <v>211</v>
      </c>
      <c r="C47" s="45">
        <f>4+4+7+6+4+6+6+6+6+7+6+7+6+7+6+6+6+6+5+6+6+6+6</f>
        <v>135</v>
      </c>
      <c r="D47" s="47">
        <v>23</v>
      </c>
      <c r="E47" s="15"/>
      <c r="F47" s="15"/>
      <c r="G47" s="15"/>
      <c r="H47" s="15"/>
    </row>
    <row r="48" spans="1:8" s="22" customFormat="1" ht="19.5" customHeight="1" x14ac:dyDescent="0.25">
      <c r="A48" s="42" t="s">
        <v>49</v>
      </c>
      <c r="B48" s="42" t="s">
        <v>50</v>
      </c>
      <c r="C48" s="45">
        <f>7+12+5+5+10+6+6+6+7+5+5+4+5+4+7+6+7+5+6+5+7+6+6+5+6.2+7+4+13+7+5+4+5+5+5</f>
        <v>208.2</v>
      </c>
      <c r="D48" s="47">
        <v>34</v>
      </c>
      <c r="E48" s="15"/>
      <c r="F48" s="15"/>
      <c r="G48" s="15"/>
      <c r="H48" s="15"/>
    </row>
    <row r="49" spans="1:8" s="22" customFormat="1" ht="19.5" customHeight="1" x14ac:dyDescent="0.25">
      <c r="A49" s="42" t="s">
        <v>336</v>
      </c>
      <c r="B49" s="42" t="s">
        <v>337</v>
      </c>
      <c r="C49" s="45">
        <f>7+9.5+8+9+17+8+10.5+7+8+10+11+18+7.5+11+11.5+13+17.5+8+13+11.5+9+9+9.5+10+10.5+9.9+17</f>
        <v>290.89999999999998</v>
      </c>
      <c r="D49" s="47">
        <v>27</v>
      </c>
      <c r="E49" s="15"/>
      <c r="F49" s="15"/>
      <c r="G49" s="15"/>
      <c r="H49" s="15"/>
    </row>
    <row r="50" spans="1:8" s="22" customFormat="1" ht="19.5" customHeight="1" x14ac:dyDescent="0.25">
      <c r="A50" s="42" t="s">
        <v>34</v>
      </c>
      <c r="B50" s="42" t="s">
        <v>35</v>
      </c>
      <c r="C50" s="45">
        <f>4+3.5+2.5+4+4+4+5+5+6+5+5+2.5+2.5+2.5+4+2+4+3+5+6+3+4+4+4+5.5+5+3+4+3.5+3+2.5+4+4+2.5+4+3+3+3+3.5+2.5+2.5+3.5+2.5+3.5+2.5+4+4+2.5+3+2.5+2.5+2.5+4+4+5+2.5+4+3+4+3+4+3+4+4+3</f>
        <v>233.5</v>
      </c>
      <c r="D50" s="47">
        <v>65</v>
      </c>
      <c r="E50" s="15"/>
      <c r="F50" s="15"/>
      <c r="G50" s="15"/>
      <c r="H50" s="15"/>
    </row>
    <row r="51" spans="1:8" s="22" customFormat="1" ht="19.5" customHeight="1" x14ac:dyDescent="0.25">
      <c r="A51" s="42" t="s">
        <v>128</v>
      </c>
      <c r="B51" s="42" t="s">
        <v>35</v>
      </c>
      <c r="C51" s="45">
        <f>5+4+5+5+5+5+5+5+4+4+5+5+5+5+5+5+5+5+5+13+5+5+5</f>
        <v>120</v>
      </c>
      <c r="D51" s="47">
        <v>23</v>
      </c>
      <c r="E51" s="15"/>
      <c r="F51" s="15"/>
      <c r="G51" s="15"/>
      <c r="H51" s="15"/>
    </row>
    <row r="52" spans="1:8" s="22" customFormat="1" ht="19.5" customHeight="1" x14ac:dyDescent="0.25">
      <c r="A52" s="42" t="s">
        <v>239</v>
      </c>
      <c r="B52" s="42" t="s">
        <v>247</v>
      </c>
      <c r="C52" s="45">
        <f>7+10+10+10+5+7+7+7.5+8+10+8+10+8+7+10+5</f>
        <v>129.5</v>
      </c>
      <c r="D52" s="47">
        <v>16</v>
      </c>
      <c r="E52" s="15"/>
      <c r="F52" s="15"/>
      <c r="G52" s="15"/>
      <c r="H52" s="15"/>
    </row>
    <row r="53" spans="1:8" s="22" customFormat="1" ht="19.5" customHeight="1" x14ac:dyDescent="0.25">
      <c r="A53" s="42" t="s">
        <v>61</v>
      </c>
      <c r="B53" s="42" t="s">
        <v>62</v>
      </c>
      <c r="C53" s="45">
        <f>9.5+8+9+18+13+11+11.5+12+20+12+10+12+13+11+12+11+12+10+12+8+8+9+8+16+10+8+9+12+11.6+10.3</f>
        <v>336.90000000000003</v>
      </c>
      <c r="D53" s="47">
        <v>30</v>
      </c>
      <c r="E53" s="15"/>
      <c r="F53" s="15"/>
      <c r="G53" s="15"/>
      <c r="H53" s="15"/>
    </row>
    <row r="54" spans="1:8" s="22" customFormat="1" ht="19.5" customHeight="1" x14ac:dyDescent="0.25">
      <c r="A54" s="42" t="s">
        <v>471</v>
      </c>
      <c r="B54" s="42" t="s">
        <v>472</v>
      </c>
      <c r="C54" s="45">
        <f>4+4+3.6+5+4+7+4+4+6+4+5+4+7.4+4+12+5+4+6.5+4+4+5+4+2.5+10.3+4+4+4+3.1+5.1+3.7+9.9+4+2.4+4+3+6+3+8.5</f>
        <v>188</v>
      </c>
      <c r="D54" s="47">
        <v>38</v>
      </c>
      <c r="E54" s="15"/>
      <c r="F54" s="15"/>
      <c r="G54" s="15"/>
      <c r="H54" s="15"/>
    </row>
    <row r="55" spans="1:8" s="22" customFormat="1" ht="19.5" customHeight="1" x14ac:dyDescent="0.25">
      <c r="A55" s="42" t="s">
        <v>39</v>
      </c>
      <c r="B55" s="42" t="s">
        <v>40</v>
      </c>
      <c r="C55" s="45">
        <f>2.5+4+5+7+5+5+3+4+4+5+4+4+4+7+5+4+6+4+7+5+5+5+7+4+7+4+7+5</f>
        <v>138.5</v>
      </c>
      <c r="D55" s="47">
        <v>29</v>
      </c>
      <c r="E55" s="15"/>
      <c r="F55" s="15"/>
      <c r="G55" s="15"/>
      <c r="H55" s="15"/>
    </row>
    <row r="56" spans="1:8" s="22" customFormat="1" ht="19.5" customHeight="1" x14ac:dyDescent="0.25">
      <c r="A56" s="42" t="s">
        <v>90</v>
      </c>
      <c r="B56" s="42" t="s">
        <v>40</v>
      </c>
      <c r="C56" s="48">
        <f>2.5+4+7+4+3+5+5.5+3+4+4+4+4+4+4+5+4+3+4+4+7+5+4+6+4+5+5+6+4+7+7.5+5+7.5+7+5+5+6+6+5+6.5+17+5+5+5.3+4+5+5.3+4+4+6+20+4+6+5+5+4+2+2</f>
        <v>300.10000000000002</v>
      </c>
      <c r="D56" s="47">
        <v>57</v>
      </c>
      <c r="E56" s="11"/>
      <c r="F56" s="15"/>
      <c r="G56" s="15"/>
      <c r="H56" s="15"/>
    </row>
    <row r="57" spans="1:8" s="22" customFormat="1" ht="19.5" customHeight="1" x14ac:dyDescent="0.25">
      <c r="A57" s="42" t="s">
        <v>69</v>
      </c>
      <c r="B57" s="42" t="s">
        <v>40</v>
      </c>
      <c r="C57" s="45">
        <f>5+2.5+5+5+5+5+5+7+5+5+5+5+5+5+5.5+5+4+4+5+5+7+5.5+7+7+5+4+7+7+5+6.2+1+5+7+7+3.1+5+7+5+5+7</f>
        <v>210.79999999999998</v>
      </c>
      <c r="D57" s="47">
        <v>39</v>
      </c>
      <c r="E57" s="15"/>
      <c r="F57" s="15"/>
      <c r="G57" s="15"/>
      <c r="H57" s="15"/>
    </row>
    <row r="58" spans="1:8" s="22" customFormat="1" ht="19.5" customHeight="1" x14ac:dyDescent="0.25">
      <c r="A58" s="42" t="s">
        <v>65</v>
      </c>
      <c r="B58" s="42" t="s">
        <v>66</v>
      </c>
      <c r="C58" s="45">
        <f>7+7+7+20+7+7+5+4+4+7+12+7+7+4+7+7+7+6.2+1+7+7+3.1+5+7+7+5+9.7</f>
        <v>183.99999999999997</v>
      </c>
      <c r="D58" s="47">
        <v>27</v>
      </c>
      <c r="E58" s="15"/>
      <c r="F58" s="15"/>
      <c r="G58" s="15"/>
      <c r="H58" s="15"/>
    </row>
    <row r="59" spans="1:8" s="22" customFormat="1" ht="19.5" customHeight="1" x14ac:dyDescent="0.25">
      <c r="A59" s="42" t="s">
        <v>260</v>
      </c>
      <c r="B59" s="42" t="s">
        <v>261</v>
      </c>
      <c r="C59" s="45">
        <f>5+4+5+4+5+5+5+5+5+5+5+5+4+4+5+4+4+5+5+5+2+5+5+6</f>
        <v>112</v>
      </c>
      <c r="D59" s="47">
        <v>24</v>
      </c>
      <c r="E59" s="15"/>
      <c r="F59" s="15"/>
      <c r="G59" s="15"/>
      <c r="H59" s="15"/>
    </row>
    <row r="60" spans="1:8" s="22" customFormat="1" ht="19.5" customHeight="1" x14ac:dyDescent="0.25">
      <c r="A60" s="42" t="s">
        <v>24</v>
      </c>
      <c r="B60" s="42" t="s">
        <v>409</v>
      </c>
      <c r="C60" s="45">
        <f>4.91+5+5+7+5.6+5.9+7.23+4.9+7.25+4+7.3+3.9+7.1+4+7.2+4+4+4.6+4.8+4+4.9</f>
        <v>112.59</v>
      </c>
      <c r="D60" s="47">
        <v>20</v>
      </c>
      <c r="E60" s="15"/>
      <c r="F60" s="15"/>
      <c r="G60" s="15"/>
      <c r="H60" s="15"/>
    </row>
    <row r="61" spans="1:8" s="22" customFormat="1" ht="19.5" customHeight="1" x14ac:dyDescent="0.25">
      <c r="A61" s="42" t="s">
        <v>618</v>
      </c>
      <c r="B61" s="42" t="s">
        <v>619</v>
      </c>
      <c r="C61" s="63">
        <f>20+5+7+20+7+4+5+1+5+4+4+2+26.2+5+4+5</f>
        <v>124.2</v>
      </c>
      <c r="D61" s="47">
        <v>16</v>
      </c>
      <c r="E61" s="15"/>
      <c r="F61" s="15"/>
      <c r="G61" s="15"/>
      <c r="H61" s="15"/>
    </row>
    <row r="62" spans="1:8" s="22" customFormat="1" ht="19.5" customHeight="1" x14ac:dyDescent="0.25">
      <c r="A62" s="42" t="s">
        <v>171</v>
      </c>
      <c r="B62" s="42" t="s">
        <v>172</v>
      </c>
      <c r="C62" s="45">
        <f>7+12+4+3+4+2.5+5+4.25+7+1.8+3+2+3.5+1.25+3.3+3.5+4+2.5+3.5+4+2.5+3+2.5+2.5+4+13.5+4+6.2+4+3</f>
        <v>126.3</v>
      </c>
      <c r="D62" s="47">
        <v>30</v>
      </c>
      <c r="E62" s="15"/>
      <c r="F62" s="15"/>
      <c r="G62" s="15"/>
      <c r="H62" s="15"/>
    </row>
    <row r="63" spans="1:8" s="22" customFormat="1" ht="19.5" customHeight="1" x14ac:dyDescent="0.25">
      <c r="A63" s="42" t="s">
        <v>137</v>
      </c>
      <c r="B63" s="42" t="s">
        <v>138</v>
      </c>
      <c r="C63" s="45">
        <f>4+4+5+5+5+4.5+4+4+4+3+5+5+6+7+4+4+4+5+4+4+11+5+4+3+4+6.2+1+3.1+4+4+5+4+2.5+4</f>
        <v>151.30000000000001</v>
      </c>
      <c r="D63" s="47">
        <v>34</v>
      </c>
      <c r="E63" s="15"/>
      <c r="F63" s="15"/>
      <c r="G63" s="15"/>
      <c r="H63" s="15"/>
    </row>
    <row r="64" spans="1:8" s="22" customFormat="1" ht="19.5" customHeight="1" x14ac:dyDescent="0.25">
      <c r="A64" s="42" t="s">
        <v>308</v>
      </c>
      <c r="B64" s="42" t="s">
        <v>340</v>
      </c>
      <c r="C64" s="45">
        <f>5+10+5.5+5+7+7+7+5+7+7+20+7+15</f>
        <v>107.5</v>
      </c>
      <c r="D64" s="47">
        <v>13</v>
      </c>
      <c r="E64" s="15"/>
      <c r="F64" s="15"/>
      <c r="G64" s="15"/>
      <c r="H64" s="15"/>
    </row>
    <row r="65" spans="1:8" s="22" customFormat="1" ht="19.5" customHeight="1" x14ac:dyDescent="0.25">
      <c r="A65" s="42" t="s">
        <v>13</v>
      </c>
      <c r="B65" s="42" t="s">
        <v>52</v>
      </c>
      <c r="C65" s="45">
        <f>9+18+11+11+12+18+12+11+11+14+18+11+11+7+10+10+18+13+7+8+4</f>
        <v>244</v>
      </c>
      <c r="D65" s="47">
        <v>21</v>
      </c>
      <c r="E65" s="15"/>
      <c r="F65" s="15"/>
      <c r="G65" s="15"/>
      <c r="H65" s="15"/>
    </row>
    <row r="66" spans="1:8" s="22" customFormat="1" ht="19.5" customHeight="1" x14ac:dyDescent="0.25">
      <c r="A66" s="42" t="s">
        <v>220</v>
      </c>
      <c r="B66" s="42" t="s">
        <v>52</v>
      </c>
      <c r="C66" s="45">
        <f>4+4+4+11+5+4+7+5+8+4+8.4+4+6+5+4+4+4+4+4+5+5+12+5+5</f>
        <v>131.4</v>
      </c>
      <c r="D66" s="47">
        <v>24</v>
      </c>
      <c r="E66" s="15"/>
      <c r="F66" s="15"/>
      <c r="G66" s="15"/>
      <c r="H66" s="15"/>
    </row>
    <row r="67" spans="1:8" s="22" customFormat="1" ht="19.5" customHeight="1" x14ac:dyDescent="0.25">
      <c r="A67" s="42" t="s">
        <v>164</v>
      </c>
      <c r="B67" s="42" t="s">
        <v>165</v>
      </c>
      <c r="C67" s="45">
        <f>5+7+7+7+7+7+7+6+7+5+7+7+5+7+7+7+6.2+10+7+5+7+5+7</f>
        <v>152.19999999999999</v>
      </c>
      <c r="D67" s="47">
        <v>23</v>
      </c>
      <c r="E67" s="15"/>
      <c r="F67" s="15"/>
      <c r="G67" s="15"/>
      <c r="H67" s="15"/>
    </row>
    <row r="68" spans="1:8" s="22" customFormat="1" ht="19.5" customHeight="1" x14ac:dyDescent="0.25">
      <c r="A68" s="42" t="s">
        <v>93</v>
      </c>
      <c r="B68" s="42" t="s">
        <v>94</v>
      </c>
      <c r="C68" s="45">
        <f>5+8.5+8+9+4+9+5+8+15+9+5+9+5+7+6+4+6+4+5+8+5+6+5+7+4.5+6</f>
        <v>173</v>
      </c>
      <c r="D68" s="47">
        <v>26</v>
      </c>
      <c r="E68" s="15"/>
      <c r="F68" s="15"/>
      <c r="G68" s="15"/>
      <c r="H68" s="15"/>
    </row>
    <row r="69" spans="1:8" s="22" customFormat="1" ht="19.5" customHeight="1" x14ac:dyDescent="0.25">
      <c r="A69" s="42" t="s">
        <v>242</v>
      </c>
      <c r="B69" s="42" t="s">
        <v>251</v>
      </c>
      <c r="C69" s="45">
        <f>10+12+11+12+17.5+12+12.5+18+11+7+11+12+7+12.5+8+10+11+11+14</f>
        <v>219.5</v>
      </c>
      <c r="D69" s="47">
        <v>19</v>
      </c>
      <c r="E69" s="15"/>
      <c r="F69" s="15"/>
      <c r="G69" s="15"/>
      <c r="H69" s="15"/>
    </row>
    <row r="70" spans="1:8" s="22" customFormat="1" ht="19.5" customHeight="1" x14ac:dyDescent="0.25">
      <c r="A70" s="42" t="s">
        <v>63</v>
      </c>
      <c r="B70" s="42" t="s">
        <v>64</v>
      </c>
      <c r="C70" s="45">
        <f>4+2+2+3+3+7+5+2+4+5+5+2+3+2+4+2+2+2+4+2+2+4+2+2+2+2+2+2+2+2+2+6+4+1+4+5+5+2+5+2+4+6+5+2+10+4+2+4+5+2+4+2+4+2+2+4+2+10+2+2+4+5+1+5+5+4+2+2+3.1+5+7+6+4+3+3+5+3+4+4+3+4</f>
        <v>283.10000000000002</v>
      </c>
      <c r="D70" s="47">
        <v>81</v>
      </c>
      <c r="E70" s="15"/>
      <c r="F70" s="15"/>
      <c r="G70" s="15"/>
      <c r="H70" s="15"/>
    </row>
    <row r="71" spans="1:8" s="22" customFormat="1" ht="19.5" customHeight="1" x14ac:dyDescent="0.25">
      <c r="A71" s="42" t="s">
        <v>70</v>
      </c>
      <c r="B71" s="42" t="s">
        <v>64</v>
      </c>
      <c r="C71" s="45">
        <f>5+5+10+5.5+5+5+7+5+5+4+5+12+4+5+4+7.5+10+5+7</f>
        <v>116</v>
      </c>
      <c r="D71" s="47">
        <v>19</v>
      </c>
      <c r="E71" s="15"/>
      <c r="F71" s="15"/>
      <c r="G71" s="15"/>
      <c r="H71" s="15"/>
    </row>
    <row r="72" spans="1:8" s="22" customFormat="1" ht="19.5" customHeight="1" x14ac:dyDescent="0.25">
      <c r="A72" s="42" t="s">
        <v>279</v>
      </c>
      <c r="B72" s="42" t="s">
        <v>153</v>
      </c>
      <c r="C72" s="45">
        <f>5+5+7+5+5+7.1+9+5+4+7+8.5+7+4+8+7+4+18+7.5+4+4+6+7+4+8+4+5+4+7+2+5+20+5+5+4+6+5+10+4+5+5+5</f>
        <v>257.10000000000002</v>
      </c>
      <c r="D72" s="47">
        <v>41</v>
      </c>
      <c r="E72" s="15"/>
      <c r="F72" s="15"/>
      <c r="G72" s="15"/>
      <c r="H72" s="15"/>
    </row>
    <row r="73" spans="1:8" s="22" customFormat="1" ht="19.5" customHeight="1" x14ac:dyDescent="0.25">
      <c r="A73" s="42" t="s">
        <v>61</v>
      </c>
      <c r="B73" s="42" t="s">
        <v>125</v>
      </c>
      <c r="C73" s="45">
        <f>4+5+13+5+5+7.25+4+5+4+5+5+5+12+5+5+5+5+6+5+5+5+15+5+4+4.6+7.2+4+5.8+5+4.9+5+4.8+20+7.2+5+4.8+6.8+4.9+7.2+4.8+7.2+5+5+4.2+2.2+7+4+4+2.2+5+1+2.2+4+4+4+4.8+4+4+4.8+4+7.3+4+4+4.8+4.9+4.9+5+4+5.9+4.9+5.8</f>
        <v>384.34999999999997</v>
      </c>
      <c r="D73" s="47">
        <v>71</v>
      </c>
      <c r="E73" s="15"/>
      <c r="F73" s="15"/>
      <c r="G73" s="15"/>
      <c r="H73" s="15"/>
    </row>
    <row r="74" spans="1:8" s="22" customFormat="1" ht="19.5" customHeight="1" x14ac:dyDescent="0.25">
      <c r="A74" s="42" t="s">
        <v>133</v>
      </c>
      <c r="B74" s="42" t="s">
        <v>156</v>
      </c>
      <c r="C74" s="45">
        <f>7+6+6+7+6+5+7.5+7+5+5+5+5+6+5+7.5+7+5+5+4+4+7+4</f>
        <v>126</v>
      </c>
      <c r="D74" s="47">
        <v>22</v>
      </c>
      <c r="E74" s="15"/>
      <c r="F74" s="15"/>
      <c r="G74" s="15"/>
      <c r="H74" s="15"/>
    </row>
    <row r="75" spans="1:8" s="22" customFormat="1" ht="19.5" customHeight="1" x14ac:dyDescent="0.25">
      <c r="A75" s="42" t="s">
        <v>45</v>
      </c>
      <c r="B75" s="42" t="s">
        <v>46</v>
      </c>
      <c r="C75" s="45">
        <f>5+8.5+7+8+5+8+7.1+9+5+5+7+9+7+4+8+7+9+6+4+6+6+6+7+5+7+8+5+5+4+7+7+5+5+6+5+7+5+11+3.1+2+26.2+2.5+2.5</f>
        <v>281.89999999999998</v>
      </c>
      <c r="D75" s="47">
        <v>43</v>
      </c>
      <c r="E75" s="15"/>
      <c r="F75" s="15"/>
      <c r="G75" s="15"/>
      <c r="H75" s="15"/>
    </row>
    <row r="76" spans="1:8" s="22" customFormat="1" ht="19.5" customHeight="1" x14ac:dyDescent="0.25">
      <c r="A76" s="42" t="s">
        <v>70</v>
      </c>
      <c r="B76" s="42" t="s">
        <v>71</v>
      </c>
      <c r="C76" s="45">
        <f>4+4+5+12+5+5+7+5+4+5+5+5+8+6+8+7+6+5+3+6+5+15+4+9+6+4+6+6+4+6+4+5+5+4+4+2+5+6+5+4+5+1+5+5+5+4+3.1+5+5+5+15+5+4+4+5</f>
        <v>300.10000000000002</v>
      </c>
      <c r="D76" s="47">
        <v>55</v>
      </c>
      <c r="E76" s="15"/>
      <c r="F76" s="15"/>
      <c r="G76" s="15"/>
      <c r="H76" s="15"/>
    </row>
    <row r="77" spans="1:8" s="22" customFormat="1" ht="19.5" customHeight="1" x14ac:dyDescent="0.25">
      <c r="A77" s="42" t="s">
        <v>57</v>
      </c>
      <c r="B77" s="42" t="s">
        <v>58</v>
      </c>
      <c r="C77" s="45">
        <f>6+7+8+18+8+5+6+10+9+6+5+7+15+5+10+8+10+6+8+4+8+12+7+8+6+7+7+4+8+10+6+8+6+20+8+7+8+8+8+4+14+5+26.2+5+7+5</f>
        <v>383.2</v>
      </c>
      <c r="D77" s="47">
        <v>46</v>
      </c>
      <c r="E77" s="15"/>
      <c r="F77" s="15"/>
      <c r="G77" s="15"/>
      <c r="H77" s="15"/>
    </row>
    <row r="78" spans="1:8" s="22" customFormat="1" ht="19.5" customHeight="1" x14ac:dyDescent="0.25">
      <c r="A78" s="42" t="s">
        <v>484</v>
      </c>
      <c r="B78" s="42" t="s">
        <v>485</v>
      </c>
      <c r="C78" s="45">
        <f>4+13.5+8+8.5+5+6.5+6.5+5+5+12+5+7.5+7.5+7.5+5+10</f>
        <v>116.5</v>
      </c>
      <c r="D78" s="47">
        <v>18</v>
      </c>
      <c r="E78" s="15"/>
      <c r="F78" s="15"/>
      <c r="G78" s="15"/>
      <c r="H78" s="15"/>
    </row>
    <row r="79" spans="1:8" s="22" customFormat="1" ht="19.5" customHeight="1" x14ac:dyDescent="0.25">
      <c r="A79" s="42" t="s">
        <v>88</v>
      </c>
      <c r="B79" s="42" t="s">
        <v>89</v>
      </c>
      <c r="C79" s="45">
        <f>4+4+6.4+6.4+6.4+6.4+6.4+6.4+4+6.4+4+4+6.4+4+4+6.4+6.4+6.4+6.4+6.4+6.4+4+6.4</f>
        <v>128.00000000000003</v>
      </c>
      <c r="D79" s="47">
        <v>24</v>
      </c>
      <c r="E79" s="15"/>
      <c r="F79" s="15"/>
      <c r="G79" s="15"/>
      <c r="H79" s="15"/>
    </row>
    <row r="80" spans="1:8" s="22" customFormat="1" ht="19.5" customHeight="1" x14ac:dyDescent="0.25">
      <c r="A80" s="42" t="s">
        <v>20</v>
      </c>
      <c r="B80" s="42" t="s">
        <v>21</v>
      </c>
      <c r="C80" s="45">
        <f>7+5+4+5+5+10+7+5+5+7+5+5+4+5+11+5+17.5+9+11+5+8+10+5+7+11+5+7+13+5+15+7+9+3+7+10+5+5+6+4+6+7+12.5+7+10+12.5+7+11.5+7+5+8+10+7.5+5+18+7+7+5+6.2+1+7+5+4+7+3.1+4+12+5+13+4+4+4+4+5</f>
        <v>520.79999999999995</v>
      </c>
      <c r="D80" s="47">
        <v>75</v>
      </c>
      <c r="E80" s="15"/>
      <c r="F80" s="15"/>
      <c r="G80" s="15"/>
      <c r="H80" s="15"/>
    </row>
    <row r="81" spans="1:8" s="22" customFormat="1" ht="19.5" customHeight="1" x14ac:dyDescent="0.25">
      <c r="A81" s="42" t="s">
        <v>198</v>
      </c>
      <c r="B81" s="42" t="s">
        <v>199</v>
      </c>
      <c r="C81" s="45">
        <f>5+7+6+5+7+16+5+7+7+5+15+7.5+6+7+7+7+6+5+8+7+5+5+5+4+5</f>
        <v>169.5</v>
      </c>
      <c r="D81" s="47">
        <v>25</v>
      </c>
      <c r="E81" s="15"/>
      <c r="F81" s="15"/>
      <c r="G81" s="15"/>
      <c r="H81" s="15"/>
    </row>
    <row r="82" spans="1:8" s="22" customFormat="1" ht="19.5" customHeight="1" x14ac:dyDescent="0.25">
      <c r="A82" s="42" t="s">
        <v>313</v>
      </c>
      <c r="B82" s="42" t="s">
        <v>314</v>
      </c>
      <c r="C82" s="45">
        <f>4.28+4.2+7.26+4.2+5+5.5+5+4+4+5.25+4+11.3+5.2+4+5.1+4+5.2+6.2+4+5+6.1+5+5+5.1+6.1+5+4+7.5+5+5+5+6.2+1+5.3+5.3+3</f>
        <v>182.29</v>
      </c>
      <c r="D82" s="47">
        <v>36</v>
      </c>
      <c r="E82" s="15"/>
      <c r="F82" s="15"/>
      <c r="G82" s="15"/>
      <c r="H82" s="15"/>
    </row>
    <row r="83" spans="1:8" s="22" customFormat="1" ht="19.5" customHeight="1" x14ac:dyDescent="0.25">
      <c r="A83" s="42" t="s">
        <v>121</v>
      </c>
      <c r="B83" s="42" t="s">
        <v>122</v>
      </c>
      <c r="C83" s="45">
        <f>2.3+2.7+2.3+6+2.3+2.3+6.4+3.2+2.3+2.5+2.3+1+5+2.3+2.3+3.3+2.3+2.3+2.3+2.6+2.3+1+2.3+2.3+2.3+5+6.2+3.1+2.3+2.3+4+2.3+2.3+2.3+4.9</f>
        <v>102.89999999999996</v>
      </c>
      <c r="D83" s="47">
        <v>35</v>
      </c>
      <c r="E83" s="15"/>
      <c r="F83" s="15"/>
      <c r="G83" s="15"/>
      <c r="H83" s="15"/>
    </row>
    <row r="84" spans="1:8" s="22" customFormat="1" ht="19.5" customHeight="1" x14ac:dyDescent="0.25">
      <c r="A84" s="42" t="s">
        <v>248</v>
      </c>
      <c r="B84" s="42" t="s">
        <v>249</v>
      </c>
      <c r="C84" s="45">
        <f>4+5+5+4+4+4+5+4+5+4+5+5+4+4+4+5+5+5+5+6.2+3.1+5+5+4+4+4</f>
        <v>117.3</v>
      </c>
      <c r="D84" s="47">
        <v>25</v>
      </c>
      <c r="E84" s="15"/>
      <c r="F84" s="15"/>
      <c r="G84" s="15"/>
      <c r="H84" s="15"/>
    </row>
    <row r="85" spans="1:8" s="22" customFormat="1" ht="19.5" customHeight="1" x14ac:dyDescent="0.25">
      <c r="A85" s="42" t="s">
        <v>79</v>
      </c>
      <c r="B85" s="42" t="s">
        <v>80</v>
      </c>
      <c r="C85" s="45">
        <f>5+5+5+7+5+7+5+7+5+8+7+9+5+7+5+7+5+12+4+4+7+5+5</f>
        <v>141</v>
      </c>
      <c r="D85" s="47">
        <v>23</v>
      </c>
      <c r="E85" s="15"/>
      <c r="F85" s="15"/>
      <c r="G85" s="15"/>
      <c r="H85" s="15"/>
    </row>
    <row r="86" spans="1:8" s="22" customFormat="1" ht="19.5" customHeight="1" x14ac:dyDescent="0.25">
      <c r="A86" s="42" t="s">
        <v>297</v>
      </c>
      <c r="B86" s="42" t="s">
        <v>298</v>
      </c>
      <c r="C86" s="45">
        <f>4+4+5+5+4+5+5+4+5+4+4+4+4+4+4+4+4+4+4+4+4+4+4+6.2+5+4+5+2+5+4</f>
        <v>128.19999999999999</v>
      </c>
      <c r="D86" s="47">
        <v>30</v>
      </c>
      <c r="E86" s="15"/>
      <c r="F86" s="15"/>
      <c r="G86" s="15"/>
      <c r="H86" s="15"/>
    </row>
    <row r="87" spans="1:8" s="22" customFormat="1" ht="19.5" customHeight="1" x14ac:dyDescent="0.25">
      <c r="A87" s="42" t="s">
        <v>53</v>
      </c>
      <c r="B87" s="42" t="s">
        <v>54</v>
      </c>
      <c r="C87" s="45">
        <f>4+4+7+5+5+4+4+4+4+4+7+4+4+4+7+4+4+4+4+4+4+4+8+4+4+4+4</f>
        <v>123</v>
      </c>
      <c r="D87" s="47">
        <v>28</v>
      </c>
      <c r="E87" s="15"/>
      <c r="F87" s="15"/>
      <c r="G87" s="15"/>
      <c r="H87" s="15"/>
    </row>
    <row r="88" spans="1:8" s="22" customFormat="1" ht="19.5" customHeight="1" x14ac:dyDescent="0.25">
      <c r="A88" s="42" t="s">
        <v>398</v>
      </c>
      <c r="B88" s="42" t="s">
        <v>537</v>
      </c>
      <c r="C88" s="45">
        <f>6+6+7+5+7+7+7+7+7+7+6+6+8+7+8</f>
        <v>101</v>
      </c>
      <c r="D88" s="47">
        <v>15</v>
      </c>
      <c r="E88" s="15"/>
      <c r="F88" s="15"/>
      <c r="G88" s="15"/>
      <c r="H88" s="15"/>
    </row>
    <row r="89" spans="1:8" s="22" customFormat="1" ht="19.5" customHeight="1" x14ac:dyDescent="0.25">
      <c r="A89" s="42" t="s">
        <v>59</v>
      </c>
      <c r="B89" s="42" t="s">
        <v>60</v>
      </c>
      <c r="C89" s="48">
        <f>2.5+2.5+5+3+2.5+7+4+4+4+5+4+5+6+2.5+5+5+2.5+5+6+4.5+15+4+5+3.5+2+5+5+2.5+5+6+2.5+5+3.5+2.5+5+4+2.5+4.5+7.5+2+5+8+3.5+5+4+2.5+6+5+8.5+2.5+5+8.5+2.5+6.2+1+2+4+2.5+5+4+1+3.1+4+5+2.5+4+3.5+2.5+26.2+1+2+2+5.5+2+2+2.5</f>
        <v>336.5</v>
      </c>
      <c r="D89" s="47">
        <v>73</v>
      </c>
      <c r="E89" s="15"/>
      <c r="F89" s="15"/>
      <c r="G89" s="15"/>
      <c r="H89" s="15"/>
    </row>
    <row r="90" spans="1:8" s="22" customFormat="1" ht="19.5" customHeight="1" x14ac:dyDescent="0.25">
      <c r="A90" s="42" t="s">
        <v>91</v>
      </c>
      <c r="B90" s="42" t="s">
        <v>92</v>
      </c>
      <c r="C90" s="45">
        <f>5+7+5+5+5+5+5+5+5.5+5+7+3+4+5+6+5+4+5+5+4.5+5+5+5+6.2+1+5+5+5+5+5+6+5+5+6+7+5</f>
        <v>182.2</v>
      </c>
      <c r="D90" s="47">
        <v>37</v>
      </c>
      <c r="E90" s="15"/>
      <c r="F90" s="15"/>
      <c r="G90" s="15"/>
      <c r="H90" s="15"/>
    </row>
    <row r="91" spans="1:8" s="22" customFormat="1" ht="19.5" customHeight="1" x14ac:dyDescent="0.25">
      <c r="A91" s="42" t="s">
        <v>117</v>
      </c>
      <c r="B91" s="42" t="s">
        <v>118</v>
      </c>
      <c r="C91" s="45">
        <f>4+5.6+5.8+5+8.39+4+5.75+4+8.5+4+5.6+4+4+11+5.8+5+1+4+5.5+4+3+5+3+4+5</f>
        <v>124.94</v>
      </c>
      <c r="D91" s="47">
        <v>25</v>
      </c>
      <c r="E91" s="15"/>
      <c r="F91" s="15"/>
      <c r="G91" s="15"/>
      <c r="H91" s="15"/>
    </row>
    <row r="92" spans="1:8" s="22" customFormat="1" ht="19.5" customHeight="1" x14ac:dyDescent="0.25">
      <c r="A92" s="42" t="s">
        <v>86</v>
      </c>
      <c r="B92" s="42" t="s">
        <v>87</v>
      </c>
      <c r="C92" s="45">
        <f>10+15+8+11+20+10+10+18+10+9+10+10+7+9+6+8+15+7+5+4+16+5+6.2+1+3.1+10+10</f>
        <v>253.29999999999998</v>
      </c>
      <c r="D92" s="47">
        <v>27</v>
      </c>
      <c r="E92" s="15"/>
      <c r="F92" s="15"/>
      <c r="G92" s="15"/>
      <c r="H92" s="15"/>
    </row>
    <row r="93" spans="1:8" s="22" customFormat="1" ht="19.5" customHeight="1" x14ac:dyDescent="0.25">
      <c r="A93" s="42" t="s">
        <v>281</v>
      </c>
      <c r="B93" s="42" t="s">
        <v>349</v>
      </c>
      <c r="C93" s="45">
        <f>10+12.4+7+5+6+16+7.5+4+7+5+17.5+5+7+7+11+4</f>
        <v>131.4</v>
      </c>
      <c r="D93" s="47">
        <v>16</v>
      </c>
      <c r="E93" s="15"/>
      <c r="F93" s="15"/>
      <c r="G93" s="15"/>
      <c r="H93" s="15"/>
    </row>
    <row r="94" spans="1:8" s="22" customFormat="1" ht="19.5" customHeight="1" x14ac:dyDescent="0.25">
      <c r="A94" s="42" t="s">
        <v>96</v>
      </c>
      <c r="B94" s="42" t="s">
        <v>202</v>
      </c>
      <c r="C94" s="45">
        <f>5+5+4+4+10+4+4+4+4+4+4+2.5+1+2+2+2+2+2+2+4+4+2+4+5+4+2+5+6+2+2+4+4+6+5+4+5+4+6+5+7+8+6+13+5+8+5+5+6+15+6+5+6</f>
        <v>245.5</v>
      </c>
      <c r="D94" s="47">
        <v>52</v>
      </c>
      <c r="E94" s="15"/>
      <c r="F94" s="15"/>
      <c r="G94" s="15"/>
      <c r="H94" s="15"/>
    </row>
    <row r="95" spans="1:8" ht="19.5" customHeight="1" x14ac:dyDescent="0.25">
      <c r="A95" s="42" t="s">
        <v>151</v>
      </c>
      <c r="B95" s="42" t="s">
        <v>152</v>
      </c>
      <c r="C95" s="45">
        <f>5+5+5+5+10+5+5+5+5+5+5+12+5+5+5+5+4+5+5+5+4+5</f>
        <v>120</v>
      </c>
      <c r="D95" s="47">
        <v>22</v>
      </c>
      <c r="E95" s="11"/>
      <c r="F95" s="11"/>
      <c r="G95" s="11"/>
      <c r="H95" s="11"/>
    </row>
    <row r="96" spans="1:8" ht="19.5" customHeight="1" x14ac:dyDescent="0.25">
      <c r="A96" s="42" t="s">
        <v>18</v>
      </c>
      <c r="B96" s="42" t="s">
        <v>19</v>
      </c>
      <c r="C96" s="45">
        <f>8+10+8+15+8+12+7+10+7+11.5+12+10+17.5+12+5+10+7+11+7.2+12+7+18+10.5+11+11.5+7+5+6+10+5+5+12+7+5+12+7.5+10+7+5+7.5+5+12.5+5+23+11.5+8+5+6.2+13+5.5+12+6.5+9</f>
        <v>491.4</v>
      </c>
      <c r="D96" s="47">
        <v>53</v>
      </c>
      <c r="E96" s="11"/>
      <c r="F96" s="11"/>
      <c r="G96" s="11"/>
      <c r="H96" s="11"/>
    </row>
    <row r="97" spans="1:8" ht="19.5" customHeight="1" x14ac:dyDescent="0.25">
      <c r="A97" s="42" t="s">
        <v>36</v>
      </c>
      <c r="B97" s="42" t="s">
        <v>341</v>
      </c>
      <c r="C97" s="45">
        <f>6+8+8+6+7+15+7+9+8+8+10+8+4+12+9+8+9+7+4+9+7+4+9+15+8+7+6+5+6+7+7+5+7+8+16+5+6+7+4+5+5+7+5+6+7+17+5+6+5+5+6.2+5+6+5+6+7+6+5+12+5+5+7+5+5</f>
        <v>459.2</v>
      </c>
      <c r="D97" s="47">
        <v>64</v>
      </c>
      <c r="E97" s="11"/>
      <c r="F97" s="11"/>
      <c r="G97" s="11"/>
      <c r="H97" s="11"/>
    </row>
    <row r="98" spans="1:8" ht="19.5" customHeight="1" x14ac:dyDescent="0.25">
      <c r="A98" s="42" t="s">
        <v>74</v>
      </c>
      <c r="B98" s="42" t="s">
        <v>75</v>
      </c>
      <c r="C98" s="45">
        <f>5+5+10+5+5+5+7+12+7+5+5+5+7+7+5+20+7+15+7+7+4+5+5+7+7+11+5+7+5</f>
        <v>207</v>
      </c>
      <c r="D98" s="47">
        <v>29</v>
      </c>
      <c r="E98" s="11"/>
      <c r="F98" s="11"/>
      <c r="G98" s="11"/>
      <c r="H98" s="11"/>
    </row>
    <row r="99" spans="1:8" s="22" customFormat="1" ht="19.5" customHeight="1" x14ac:dyDescent="0.25">
      <c r="A99" s="42" t="s">
        <v>159</v>
      </c>
      <c r="B99" s="42" t="s">
        <v>749</v>
      </c>
      <c r="C99" s="63">
        <f>12+8+7.25+8+20+7.1+7.2+7.2+8+9+7.2+17+6.2+7+3</f>
        <v>134.15</v>
      </c>
      <c r="D99" s="47">
        <v>15</v>
      </c>
      <c r="E99" s="15"/>
      <c r="F99" s="15"/>
      <c r="G99" s="15"/>
      <c r="H99" s="15"/>
    </row>
    <row r="100" spans="1:8" ht="19.5" customHeight="1" x14ac:dyDescent="0.25">
      <c r="A100" s="42" t="s">
        <v>24</v>
      </c>
      <c r="B100" s="42" t="s">
        <v>25</v>
      </c>
      <c r="C100" s="45">
        <f>10+10+15+10+11.5+9+6+10+12+21.5+12.5+12+9+12.2+10+10+8+10+10+12+10+10+7+9+7.5+5+9+7+7+8.5+4+5+11.5+7+7</f>
        <v>335.2</v>
      </c>
      <c r="D100" s="47">
        <v>36</v>
      </c>
      <c r="E100" s="11"/>
      <c r="F100" s="11"/>
      <c r="G100" s="11"/>
      <c r="H100" s="11"/>
    </row>
    <row r="101" spans="1:8" ht="19.5" customHeight="1" x14ac:dyDescent="0.25">
      <c r="A101" s="42" t="s">
        <v>128</v>
      </c>
      <c r="B101" s="42" t="s">
        <v>327</v>
      </c>
      <c r="C101" s="45">
        <f>6.2+5+7.5+5.3+5+5+5+5+6+5+15+5+5+6.5+5+7+5+5+8+7+7+5+20+5+6.2+1+7+5+7+5+4+2+5</f>
        <v>202.7</v>
      </c>
      <c r="D101" s="47">
        <v>33</v>
      </c>
      <c r="E101" s="11"/>
      <c r="F101" s="11"/>
      <c r="G101" s="11"/>
      <c r="H101" s="11"/>
    </row>
    <row r="102" spans="1:8" s="22" customFormat="1" ht="19.5" customHeight="1" x14ac:dyDescent="0.25">
      <c r="A102" s="42" t="s">
        <v>157</v>
      </c>
      <c r="B102" s="42" t="s">
        <v>158</v>
      </c>
      <c r="C102" s="45">
        <f>5+5+4+5+5+5+5+5+5+5+6+5+6.75+7+5+5+4+4+4+6+5+5+5</f>
        <v>116.75</v>
      </c>
      <c r="D102" s="47">
        <v>23</v>
      </c>
      <c r="E102" s="15"/>
      <c r="F102" s="15"/>
      <c r="G102" s="15"/>
      <c r="H102" s="15"/>
    </row>
    <row r="103" spans="1:8" s="22" customFormat="1" ht="19.5" customHeight="1" x14ac:dyDescent="0.25">
      <c r="A103" s="42" t="s">
        <v>82</v>
      </c>
      <c r="B103" s="42" t="s">
        <v>83</v>
      </c>
      <c r="C103" s="45">
        <f>7.5+8+8+8+10+5+7+4+8+7+6+5+7+12+7+10+5+6+5+7+5+5.5+15+5.5+5.5+6+5+5+5+5+5+5+5+5+2+2+5+2.5+5+4+4.5+7+3+4+4+5+4.5+4+4+4+8+4+26.2+5+2.5+4+6</f>
        <v>345.2</v>
      </c>
      <c r="D103" s="47">
        <v>57</v>
      </c>
      <c r="E103" s="15"/>
      <c r="F103" s="15"/>
      <c r="G103" s="15"/>
      <c r="H103" s="15"/>
    </row>
  </sheetData>
  <sortState ref="A3:D103">
    <sortCondition ref="B3:B103"/>
    <sortCondition ref="A3:A103"/>
  </sortState>
  <pageMargins left="0.7" right="0.45" top="0.7" bottom="0.5" header="0.3" footer="0.3"/>
  <pageSetup fitToHeight="3" orientation="landscape" r:id="rId1"/>
  <headerFooter>
    <oddHeader xml:space="preserve">&amp;R&amp;"-,Bold"&amp;12 &amp;14 100+ Miles &amp;"-,Regular"      &amp;11                                       &amp;K00+000.  &amp;K01+000  </oddHead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D16" sqref="D16"/>
    </sheetView>
  </sheetViews>
  <sheetFormatPr defaultRowHeight="15" x14ac:dyDescent="0.25"/>
  <cols>
    <col min="1" max="1" width="21.7109375" style="49" customWidth="1"/>
    <col min="2" max="4" width="7.7109375" style="49" customWidth="1"/>
    <col min="5" max="6" width="13.28515625" style="49" customWidth="1"/>
    <col min="7" max="7" width="11.85546875" style="49" customWidth="1"/>
    <col min="8" max="8" width="6.42578125" style="49" customWidth="1"/>
    <col min="9" max="12" width="11.85546875" style="49" customWidth="1"/>
    <col min="13" max="13" width="12.140625" style="49" customWidth="1"/>
  </cols>
  <sheetData>
    <row r="1" spans="1:13" ht="33" customHeight="1" x14ac:dyDescent="0.3">
      <c r="A1" s="52" t="s">
        <v>662</v>
      </c>
      <c r="B1" s="52" t="s">
        <v>657</v>
      </c>
      <c r="C1" s="52" t="s">
        <v>658</v>
      </c>
      <c r="D1" s="52" t="s">
        <v>659</v>
      </c>
      <c r="E1" s="52" t="s">
        <v>660</v>
      </c>
      <c r="F1" s="52" t="s">
        <v>1062</v>
      </c>
      <c r="G1" s="54" t="s">
        <v>661</v>
      </c>
      <c r="H1" s="54"/>
      <c r="I1" s="58" t="s">
        <v>758</v>
      </c>
      <c r="J1" s="58" t="s">
        <v>760</v>
      </c>
      <c r="K1" s="58" t="s">
        <v>810</v>
      </c>
      <c r="L1" s="58" t="s">
        <v>761</v>
      </c>
      <c r="M1" s="53" t="s">
        <v>759</v>
      </c>
    </row>
    <row r="2" spans="1:13" ht="18" customHeight="1" x14ac:dyDescent="0.3">
      <c r="A2" s="55" t="s">
        <v>663</v>
      </c>
      <c r="B2" s="60">
        <f>59+1</f>
        <v>60</v>
      </c>
      <c r="C2" s="60">
        <f>2+87</f>
        <v>89</v>
      </c>
      <c r="D2" s="60">
        <v>67</v>
      </c>
      <c r="E2" s="59">
        <v>0</v>
      </c>
      <c r="F2" s="59">
        <v>0</v>
      </c>
      <c r="G2" s="60">
        <v>157</v>
      </c>
      <c r="H2" s="56"/>
      <c r="I2" s="60">
        <v>1</v>
      </c>
      <c r="J2" s="60">
        <v>2</v>
      </c>
      <c r="K2" s="60">
        <v>3</v>
      </c>
      <c r="L2" s="59"/>
      <c r="M2" s="57">
        <f t="shared" ref="M2:M4" si="0">SUM(I2:L2)</f>
        <v>6</v>
      </c>
    </row>
    <row r="3" spans="1:13" ht="18.75" x14ac:dyDescent="0.3">
      <c r="A3" s="55" t="s">
        <v>664</v>
      </c>
      <c r="B3" s="60">
        <f>21+12+12+9+9</f>
        <v>63</v>
      </c>
      <c r="C3" s="60">
        <f>30+19+12+16+21</f>
        <v>98</v>
      </c>
      <c r="D3" s="60">
        <f>23+17+15+17+11</f>
        <v>83</v>
      </c>
      <c r="E3" s="59">
        <v>0</v>
      </c>
      <c r="F3" s="59">
        <v>0</v>
      </c>
      <c r="G3" s="60">
        <f>38+40+34+35+36</f>
        <v>183</v>
      </c>
      <c r="H3" s="56"/>
      <c r="I3" s="60">
        <v>9</v>
      </c>
      <c r="J3" s="60">
        <v>21</v>
      </c>
      <c r="K3" s="60">
        <v>11</v>
      </c>
      <c r="L3" s="59"/>
      <c r="M3" s="57">
        <f t="shared" si="0"/>
        <v>41</v>
      </c>
    </row>
    <row r="4" spans="1:13" ht="18.75" x14ac:dyDescent="0.3">
      <c r="A4" s="55" t="s">
        <v>716</v>
      </c>
      <c r="B4" s="60">
        <f>1+12+10+8+19</f>
        <v>50</v>
      </c>
      <c r="C4" s="60">
        <f>7+25+12+16+27</f>
        <v>87</v>
      </c>
      <c r="D4" s="60">
        <f>5+23+19+20+19</f>
        <v>86</v>
      </c>
      <c r="E4" s="61">
        <v>78</v>
      </c>
      <c r="F4" s="76">
        <v>0</v>
      </c>
      <c r="G4" s="60">
        <f>29+65+41+36+37</f>
        <v>208</v>
      </c>
      <c r="H4" s="56"/>
      <c r="I4" s="60">
        <v>1</v>
      </c>
      <c r="J4" s="60">
        <v>7</v>
      </c>
      <c r="K4" s="60">
        <v>5</v>
      </c>
      <c r="L4" s="60">
        <v>18</v>
      </c>
      <c r="M4" s="57">
        <f t="shared" si="0"/>
        <v>31</v>
      </c>
    </row>
    <row r="5" spans="1:13" ht="18.75" x14ac:dyDescent="0.3">
      <c r="A5" s="56" t="s">
        <v>719</v>
      </c>
      <c r="B5" s="60">
        <f>3+12+2+6+20</f>
        <v>43</v>
      </c>
      <c r="C5" s="60">
        <f>2+15+10+18+32</f>
        <v>77</v>
      </c>
      <c r="D5" s="60">
        <f>8+29+11+23+30</f>
        <v>101</v>
      </c>
      <c r="E5" s="59">
        <v>0</v>
      </c>
      <c r="F5" s="76">
        <v>0</v>
      </c>
      <c r="G5" s="60">
        <f>120+22+21</f>
        <v>163</v>
      </c>
      <c r="H5" s="56"/>
      <c r="I5" s="60">
        <v>3</v>
      </c>
      <c r="J5" s="60">
        <v>2</v>
      </c>
      <c r="K5" s="60">
        <v>8</v>
      </c>
      <c r="L5" s="59"/>
      <c r="M5" s="57">
        <f>SUM(I5:L5)</f>
        <v>13</v>
      </c>
    </row>
    <row r="6" spans="1:13" ht="18.75" x14ac:dyDescent="0.3">
      <c r="A6" s="56" t="s">
        <v>717</v>
      </c>
      <c r="B6" s="60">
        <f>8+5+5+24</f>
        <v>42</v>
      </c>
      <c r="C6" s="60">
        <f>4+2+8+19+27</f>
        <v>60</v>
      </c>
      <c r="D6" s="60">
        <f>10+21+15+22+25</f>
        <v>93</v>
      </c>
      <c r="E6" s="59">
        <v>0</v>
      </c>
      <c r="F6" s="76">
        <v>0</v>
      </c>
      <c r="G6" s="60">
        <f>14+31+25+34</f>
        <v>104</v>
      </c>
      <c r="H6" s="56"/>
      <c r="I6" s="60">
        <v>0</v>
      </c>
      <c r="J6" s="60">
        <v>4</v>
      </c>
      <c r="K6" s="60">
        <v>9</v>
      </c>
      <c r="L6" s="59"/>
      <c r="M6" s="57">
        <f t="shared" ref="M6:M13" si="1">SUM(I6:L6)</f>
        <v>13</v>
      </c>
    </row>
    <row r="7" spans="1:13" ht="18.75" x14ac:dyDescent="0.3">
      <c r="A7" s="56" t="s">
        <v>718</v>
      </c>
      <c r="B7" s="60">
        <f>3+9+10+7+20</f>
        <v>49</v>
      </c>
      <c r="C7" s="60">
        <f>3+15+15+20+42</f>
        <v>95</v>
      </c>
      <c r="D7" s="60">
        <f>1+19+9+20+27</f>
        <v>76</v>
      </c>
      <c r="E7" s="59">
        <v>0</v>
      </c>
      <c r="F7" s="76">
        <v>0</v>
      </c>
      <c r="G7" s="60">
        <f>78+32+48</f>
        <v>158</v>
      </c>
      <c r="H7" s="56"/>
      <c r="I7" s="60">
        <v>3</v>
      </c>
      <c r="J7" s="60">
        <v>3</v>
      </c>
      <c r="K7" s="60">
        <v>1</v>
      </c>
      <c r="L7" s="62"/>
      <c r="M7" s="57">
        <f t="shared" si="1"/>
        <v>7</v>
      </c>
    </row>
    <row r="8" spans="1:13" ht="18.75" x14ac:dyDescent="0.3">
      <c r="A8" s="56" t="s">
        <v>796</v>
      </c>
      <c r="B8" s="60">
        <f>13+9+3</f>
        <v>25</v>
      </c>
      <c r="C8" s="60">
        <f>13+12+19</f>
        <v>44</v>
      </c>
      <c r="D8" s="60">
        <v>83</v>
      </c>
      <c r="E8" s="59">
        <v>0</v>
      </c>
      <c r="F8" s="76">
        <v>0</v>
      </c>
      <c r="G8" s="60">
        <v>176</v>
      </c>
      <c r="H8" s="56"/>
      <c r="I8" s="60">
        <v>13</v>
      </c>
      <c r="J8" s="60">
        <v>7</v>
      </c>
      <c r="K8" s="60">
        <v>6</v>
      </c>
      <c r="L8" s="62"/>
      <c r="M8" s="57">
        <f t="shared" si="1"/>
        <v>26</v>
      </c>
    </row>
    <row r="9" spans="1:13" ht="18.75" x14ac:dyDescent="0.3">
      <c r="A9" s="56" t="s">
        <v>811</v>
      </c>
      <c r="B9" s="60">
        <f>8+14+12+5+22</f>
        <v>61</v>
      </c>
      <c r="C9" s="60">
        <f>4+15+15+21+30</f>
        <v>85</v>
      </c>
      <c r="D9" s="60">
        <f>3+12+9+12+30</f>
        <v>66</v>
      </c>
      <c r="E9" s="61">
        <f>9+18+5+11+26</f>
        <v>69</v>
      </c>
      <c r="F9" s="76">
        <v>0</v>
      </c>
      <c r="G9" s="61">
        <v>134</v>
      </c>
      <c r="H9" s="56"/>
      <c r="I9" s="60">
        <v>7</v>
      </c>
      <c r="J9" s="60">
        <v>3</v>
      </c>
      <c r="K9" s="60">
        <v>3</v>
      </c>
      <c r="L9" s="61">
        <v>8</v>
      </c>
      <c r="M9" s="57">
        <f t="shared" si="1"/>
        <v>21</v>
      </c>
    </row>
    <row r="10" spans="1:13" ht="18.75" x14ac:dyDescent="0.3">
      <c r="A10" s="56" t="s">
        <v>903</v>
      </c>
      <c r="B10" s="60">
        <f>3+15+9+13+22</f>
        <v>62</v>
      </c>
      <c r="C10" s="60">
        <f>2+7+5+11+27</f>
        <v>52</v>
      </c>
      <c r="D10" s="60">
        <f>3+15+13+10+27</f>
        <v>68</v>
      </c>
      <c r="E10" s="59">
        <v>0</v>
      </c>
      <c r="F10" s="76">
        <v>0</v>
      </c>
      <c r="G10" s="60">
        <f>12+34+24+29+46</f>
        <v>145</v>
      </c>
      <c r="H10" s="56"/>
      <c r="I10" s="60">
        <v>3</v>
      </c>
      <c r="J10" s="60">
        <v>2</v>
      </c>
      <c r="K10" s="60">
        <v>3</v>
      </c>
      <c r="L10" s="59"/>
      <c r="M10" s="57">
        <f t="shared" si="1"/>
        <v>8</v>
      </c>
    </row>
    <row r="11" spans="1:13" ht="18.75" x14ac:dyDescent="0.3">
      <c r="A11" s="56" t="s">
        <v>904</v>
      </c>
      <c r="B11" s="60">
        <f>3+10+5+11+19</f>
        <v>48</v>
      </c>
      <c r="C11" s="60">
        <f>3+13+13+21+36</f>
        <v>86</v>
      </c>
      <c r="D11" s="60">
        <f>8+9+13+17+29</f>
        <v>76</v>
      </c>
      <c r="E11" s="59">
        <v>0</v>
      </c>
      <c r="F11" s="76">
        <v>0</v>
      </c>
      <c r="G11" s="60">
        <f>14+33+26+38+51</f>
        <v>162</v>
      </c>
      <c r="H11" s="56"/>
      <c r="I11" s="60">
        <v>3</v>
      </c>
      <c r="J11" s="60">
        <v>3</v>
      </c>
      <c r="K11" s="60">
        <v>8</v>
      </c>
      <c r="L11" s="62"/>
      <c r="M11" s="57">
        <f t="shared" si="1"/>
        <v>14</v>
      </c>
    </row>
    <row r="12" spans="1:13" ht="18.75" x14ac:dyDescent="0.3">
      <c r="A12" s="56" t="s">
        <v>917</v>
      </c>
      <c r="B12" s="60">
        <f>4+7+4+6+17</f>
        <v>38</v>
      </c>
      <c r="C12" s="60">
        <f>15+17+19+25+43</f>
        <v>119</v>
      </c>
      <c r="D12" s="60">
        <f>10+15+14+15+15+36</f>
        <v>105</v>
      </c>
      <c r="E12" s="59">
        <v>0</v>
      </c>
      <c r="F12" s="76">
        <v>0</v>
      </c>
      <c r="G12" s="60">
        <f>28+38+33+40+63</f>
        <v>202</v>
      </c>
      <c r="H12" s="56"/>
      <c r="I12" s="60">
        <v>4</v>
      </c>
      <c r="J12" s="60">
        <v>15</v>
      </c>
      <c r="K12" s="60">
        <v>10</v>
      </c>
      <c r="L12" s="62"/>
      <c r="M12" s="57">
        <f t="shared" si="1"/>
        <v>29</v>
      </c>
    </row>
    <row r="13" spans="1:13" ht="18.75" x14ac:dyDescent="0.3">
      <c r="A13" s="56" t="s">
        <v>918</v>
      </c>
      <c r="B13" s="60">
        <f>11+13+4+12+18</f>
        <v>58</v>
      </c>
      <c r="C13" s="60">
        <f>7+14+14+26+55</f>
        <v>116</v>
      </c>
      <c r="D13" s="60">
        <f>8+13+14+13+35</f>
        <v>83</v>
      </c>
      <c r="E13" s="60">
        <f>11+10+7+19+30</f>
        <v>77</v>
      </c>
      <c r="F13" s="76">
        <v>0</v>
      </c>
      <c r="G13" s="60">
        <f>37+42+33+45+65</f>
        <v>222</v>
      </c>
      <c r="H13" s="56"/>
      <c r="I13" s="60">
        <v>10</v>
      </c>
      <c r="J13" s="60">
        <v>6</v>
      </c>
      <c r="K13" s="60">
        <v>8</v>
      </c>
      <c r="L13" s="60">
        <v>11</v>
      </c>
      <c r="M13" s="57">
        <f t="shared" si="1"/>
        <v>35</v>
      </c>
    </row>
    <row r="14" spans="1:13" ht="18.75" x14ac:dyDescent="0.3">
      <c r="A14" s="56" t="s">
        <v>975</v>
      </c>
      <c r="B14" s="60">
        <f>5+13+8+10+30</f>
        <v>66</v>
      </c>
      <c r="C14" s="60">
        <f>10+9+17+11+41</f>
        <v>88</v>
      </c>
      <c r="D14" s="60">
        <f>4+11+9+12+31</f>
        <v>67</v>
      </c>
      <c r="E14" s="59"/>
      <c r="F14" s="59"/>
      <c r="G14" s="60">
        <f>19+31+28+29+63</f>
        <v>170</v>
      </c>
      <c r="H14" s="56"/>
      <c r="I14" s="60">
        <v>5</v>
      </c>
      <c r="J14" s="60">
        <v>8</v>
      </c>
      <c r="K14" s="60">
        <v>4</v>
      </c>
      <c r="L14" s="62"/>
      <c r="M14" s="57">
        <f>SUM(I14:L14)</f>
        <v>17</v>
      </c>
    </row>
    <row r="15" spans="1:13" ht="18.75" x14ac:dyDescent="0.3">
      <c r="A15" s="56" t="s">
        <v>976</v>
      </c>
      <c r="B15" s="60">
        <f>9+10+10+12+24</f>
        <v>65</v>
      </c>
      <c r="C15" s="60">
        <f>6+11+12+12+40</f>
        <v>81</v>
      </c>
      <c r="D15" s="60">
        <f>5+7+7+19+38</f>
        <v>76</v>
      </c>
      <c r="E15" s="59"/>
      <c r="F15" s="59"/>
      <c r="G15" s="60">
        <f>18+27+27+32</f>
        <v>104</v>
      </c>
      <c r="H15" s="56"/>
      <c r="I15" s="60">
        <v>7</v>
      </c>
      <c r="J15" s="60">
        <v>4</v>
      </c>
      <c r="K15" s="60">
        <v>5</v>
      </c>
      <c r="L15" s="62"/>
      <c r="M15" s="57">
        <f>SUM(I15:L15)</f>
        <v>16</v>
      </c>
    </row>
    <row r="16" spans="1:13" ht="18.75" x14ac:dyDescent="0.3">
      <c r="A16" s="56" t="s">
        <v>977</v>
      </c>
      <c r="B16" s="60">
        <f>10+6+8+28</f>
        <v>52</v>
      </c>
      <c r="C16" s="60">
        <f>4+15+13+13+47</f>
        <v>92</v>
      </c>
      <c r="D16" s="60">
        <f>3+12+12+7+33</f>
        <v>67</v>
      </c>
      <c r="E16" s="59"/>
      <c r="F16" s="77">
        <v>24</v>
      </c>
      <c r="G16" s="60">
        <f>11+37+54</f>
        <v>102</v>
      </c>
      <c r="H16" s="56"/>
      <c r="I16" s="60">
        <v>4</v>
      </c>
      <c r="J16" s="60">
        <v>3</v>
      </c>
      <c r="K16" s="60">
        <v>3</v>
      </c>
      <c r="L16" s="61">
        <v>1</v>
      </c>
      <c r="M16" s="57">
        <f>SUM(I16:L16)</f>
        <v>11</v>
      </c>
    </row>
    <row r="17" spans="1:13" ht="18.75" x14ac:dyDescent="0.3">
      <c r="A17" s="56"/>
      <c r="B17" s="60"/>
      <c r="C17" s="60"/>
      <c r="D17" s="60"/>
      <c r="E17" s="56"/>
      <c r="F17" s="56"/>
      <c r="G17" s="60"/>
      <c r="H17" s="56"/>
      <c r="I17" s="56"/>
      <c r="J17" s="56"/>
      <c r="K17" s="56"/>
      <c r="L17" s="56"/>
      <c r="M17" s="51"/>
    </row>
    <row r="18" spans="1:13" ht="18.75" x14ac:dyDescent="0.3">
      <c r="A18" s="56"/>
      <c r="B18" s="56"/>
      <c r="C18" s="56"/>
      <c r="D18" s="56"/>
      <c r="E18" s="56"/>
      <c r="F18" s="56"/>
      <c r="G18" s="60"/>
      <c r="H18" s="56"/>
      <c r="I18" s="56"/>
      <c r="J18" s="56"/>
      <c r="K18" s="56"/>
      <c r="L18" s="56"/>
      <c r="M18" s="51"/>
    </row>
    <row r="19" spans="1:13" ht="18.75" x14ac:dyDescent="0.3">
      <c r="A19" s="56"/>
      <c r="B19" s="56"/>
      <c r="C19" s="56"/>
      <c r="D19" s="56"/>
      <c r="E19" s="56"/>
      <c r="F19" s="56"/>
      <c r="G19" s="60"/>
      <c r="H19" s="56"/>
      <c r="I19" s="56"/>
      <c r="J19" s="56"/>
      <c r="K19" s="56"/>
      <c r="L19" s="56"/>
      <c r="M19" s="51"/>
    </row>
    <row r="20" spans="1:13" ht="18.75" x14ac:dyDescent="0.3">
      <c r="A20" s="56"/>
      <c r="B20" s="56"/>
      <c r="C20" s="56"/>
      <c r="D20" s="56"/>
      <c r="E20" s="56"/>
      <c r="F20" s="56"/>
      <c r="G20" s="60"/>
      <c r="H20" s="56"/>
      <c r="I20" s="56"/>
      <c r="J20" s="56"/>
      <c r="K20" s="56"/>
      <c r="L20" s="56"/>
      <c r="M20" s="51"/>
    </row>
    <row r="21" spans="1:13" ht="18.75" x14ac:dyDescent="0.3">
      <c r="A21" s="56"/>
      <c r="B21" s="56"/>
      <c r="C21" s="56"/>
      <c r="D21" s="56"/>
      <c r="E21" s="56"/>
      <c r="F21" s="56"/>
      <c r="G21" s="60"/>
      <c r="H21" s="56"/>
      <c r="I21" s="56"/>
      <c r="J21" s="56"/>
      <c r="K21" s="56"/>
      <c r="L21" s="56"/>
      <c r="M21" s="51"/>
    </row>
    <row r="22" spans="1:13" ht="18.75" x14ac:dyDescent="0.3">
      <c r="A22" s="56"/>
      <c r="B22" s="56"/>
      <c r="C22" s="56"/>
      <c r="D22" s="56"/>
      <c r="E22" s="56"/>
      <c r="F22" s="56"/>
      <c r="G22" s="60"/>
      <c r="H22" s="56"/>
      <c r="I22" s="56"/>
      <c r="J22" s="56"/>
      <c r="K22" s="56"/>
      <c r="L22" s="56"/>
      <c r="M22" s="51"/>
    </row>
    <row r="23" spans="1:13" ht="18.75" x14ac:dyDescent="0.3">
      <c r="A23" s="56"/>
      <c r="B23" s="56"/>
      <c r="C23" s="56"/>
      <c r="D23" s="56"/>
      <c r="E23" s="56"/>
      <c r="F23" s="56"/>
      <c r="G23" s="60"/>
      <c r="H23" s="56"/>
      <c r="I23" s="56"/>
      <c r="J23" s="56"/>
      <c r="K23" s="56"/>
      <c r="L23" s="56"/>
      <c r="M23" s="51"/>
    </row>
    <row r="24" spans="1:13" ht="18.75" x14ac:dyDescent="0.3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0"/>
    </row>
    <row r="25" spans="1:13" ht="18.75" x14ac:dyDescent="0.3">
      <c r="A25" s="56"/>
      <c r="B25" s="50"/>
      <c r="C25" s="50"/>
      <c r="D25" s="50"/>
      <c r="E25" s="50"/>
      <c r="F25" s="50"/>
      <c r="G25" s="56"/>
      <c r="H25" s="56"/>
      <c r="I25" s="56"/>
      <c r="J25" s="56"/>
      <c r="K25" s="56"/>
      <c r="L25" s="56"/>
      <c r="M25" s="50"/>
    </row>
    <row r="26" spans="1:13" ht="18.75" x14ac:dyDescent="0.3">
      <c r="A26" s="56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ht="18.75" x14ac:dyDescent="0.3">
      <c r="A27" s="56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 ht="18.75" x14ac:dyDescent="0.3">
      <c r="A28" s="56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</row>
    <row r="29" spans="1:13" ht="18.75" x14ac:dyDescent="0.3">
      <c r="A29" s="56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13" ht="18.75" x14ac:dyDescent="0.3">
      <c r="A30" s="56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8.75" x14ac:dyDescent="0.3">
      <c r="A31" s="56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</row>
    <row r="32" spans="1:13" ht="18.75" x14ac:dyDescent="0.3">
      <c r="A32" s="56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</row>
    <row r="33" spans="1:13" ht="15.75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</row>
    <row r="34" spans="1:13" ht="15.7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</row>
    <row r="35" spans="1:13" ht="15.7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</row>
    <row r="36" spans="1:13" ht="15.7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</row>
    <row r="37" spans="1:13" ht="15.75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</row>
    <row r="38" spans="1:13" ht="15.75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</row>
    <row r="39" spans="1:13" ht="15.75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</row>
    <row r="40" spans="1:13" ht="15.75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</row>
    <row r="41" spans="1:13" ht="15.7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</row>
    <row r="42" spans="1:13" ht="15.75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</row>
    <row r="43" spans="1:13" ht="15.75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</row>
    <row r="44" spans="1:13" ht="15.75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</row>
    <row r="45" spans="1:13" ht="15.75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workbookViewId="0">
      <selection activeCell="B10" sqref="B10"/>
    </sheetView>
  </sheetViews>
  <sheetFormatPr defaultRowHeight="15" x14ac:dyDescent="0.25"/>
  <cols>
    <col min="1" max="1" width="19" customWidth="1"/>
    <col min="2" max="2" width="22.7109375" customWidth="1"/>
    <col min="3" max="3" width="8" customWidth="1"/>
    <col min="4" max="4" width="8.140625" customWidth="1"/>
    <col min="5" max="5" width="6.42578125" customWidth="1"/>
    <col min="6" max="6" width="9.7109375" customWidth="1"/>
    <col min="7" max="7" width="9.140625" customWidth="1"/>
    <col min="8" max="8" width="7.7109375" customWidth="1"/>
    <col min="9" max="9" width="7.28515625" customWidth="1"/>
    <col min="10" max="10" width="8.7109375" customWidth="1"/>
    <col min="11" max="11" width="9.5703125" customWidth="1"/>
    <col min="12" max="12" width="7.28515625" customWidth="1"/>
    <col min="13" max="14" width="7.140625" customWidth="1"/>
  </cols>
  <sheetData>
    <row r="1" spans="1:27" ht="26.25" x14ac:dyDescent="0.4">
      <c r="A1" s="78" t="s">
        <v>853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/>
      <c r="N1" s="66"/>
      <c r="O1" s="66"/>
      <c r="P1" s="66"/>
      <c r="Q1" s="66"/>
      <c r="R1" s="66"/>
    </row>
    <row r="2" spans="1:27" ht="17.25" customHeight="1" x14ac:dyDescent="0.25">
      <c r="A2" s="79" t="s">
        <v>11</v>
      </c>
      <c r="B2" s="82" t="s">
        <v>12</v>
      </c>
      <c r="C2" s="71" t="s">
        <v>848</v>
      </c>
      <c r="D2" s="72" t="s">
        <v>850</v>
      </c>
      <c r="E2" s="72" t="s">
        <v>851</v>
      </c>
      <c r="F2" s="72" t="s">
        <v>854</v>
      </c>
      <c r="G2" s="72" t="s">
        <v>856</v>
      </c>
      <c r="H2" s="72" t="s">
        <v>859</v>
      </c>
      <c r="I2" s="72" t="s">
        <v>860</v>
      </c>
      <c r="J2" s="72" t="s">
        <v>862</v>
      </c>
      <c r="K2" s="72" t="s">
        <v>863</v>
      </c>
      <c r="L2" s="72" t="s">
        <v>865</v>
      </c>
      <c r="M2" s="66"/>
      <c r="N2" s="66"/>
      <c r="O2" s="66"/>
      <c r="P2" s="66"/>
      <c r="Q2" s="66"/>
      <c r="R2" s="66"/>
    </row>
    <row r="3" spans="1:27" ht="23.25" customHeight="1" x14ac:dyDescent="0.25">
      <c r="A3" s="80"/>
      <c r="B3" s="83"/>
      <c r="C3" s="68" t="s">
        <v>849</v>
      </c>
      <c r="D3" s="69" t="s">
        <v>867</v>
      </c>
      <c r="E3" s="69" t="s">
        <v>852</v>
      </c>
      <c r="F3" s="69" t="s">
        <v>855</v>
      </c>
      <c r="G3" s="69" t="s">
        <v>857</v>
      </c>
      <c r="H3" s="69" t="s">
        <v>858</v>
      </c>
      <c r="I3" s="69" t="s">
        <v>861</v>
      </c>
      <c r="J3" s="69" t="s">
        <v>868</v>
      </c>
      <c r="K3" s="69" t="s">
        <v>864</v>
      </c>
      <c r="L3" s="69" t="s">
        <v>866</v>
      </c>
      <c r="M3" s="66"/>
      <c r="N3" s="66"/>
      <c r="O3" s="66"/>
      <c r="P3" s="66"/>
      <c r="Q3" s="66"/>
      <c r="R3" s="66"/>
    </row>
    <row r="4" spans="1:27" ht="17.25" customHeight="1" x14ac:dyDescent="0.3">
      <c r="A4" s="81"/>
      <c r="B4" s="84"/>
      <c r="C4" s="70" t="s">
        <v>869</v>
      </c>
      <c r="D4" s="70" t="s">
        <v>870</v>
      </c>
      <c r="E4" s="70" t="s">
        <v>871</v>
      </c>
      <c r="F4" s="70" t="s">
        <v>872</v>
      </c>
      <c r="G4" s="70" t="s">
        <v>873</v>
      </c>
      <c r="H4" s="70" t="s">
        <v>871</v>
      </c>
      <c r="I4" s="70" t="s">
        <v>874</v>
      </c>
      <c r="J4" s="70" t="s">
        <v>870</v>
      </c>
      <c r="K4" s="70" t="s">
        <v>875</v>
      </c>
      <c r="L4" s="70" t="s">
        <v>876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0" customHeight="1" x14ac:dyDescent="0.3">
      <c r="A5" s="73" t="s">
        <v>10</v>
      </c>
      <c r="B5" s="73" t="s">
        <v>10</v>
      </c>
      <c r="C5" s="67"/>
      <c r="D5" s="13"/>
      <c r="E5" s="5"/>
      <c r="F5" s="13"/>
      <c r="G5" s="5"/>
      <c r="H5" s="5"/>
      <c r="I5" s="13"/>
      <c r="J5" s="5"/>
      <c r="K5" s="5"/>
      <c r="L5" s="13"/>
    </row>
    <row r="6" spans="1:27" ht="30" customHeight="1" x14ac:dyDescent="0.3">
      <c r="A6" s="73" t="s">
        <v>10</v>
      </c>
      <c r="B6" s="73" t="s">
        <v>10</v>
      </c>
      <c r="C6" s="5"/>
      <c r="D6" s="13"/>
      <c r="E6" s="5"/>
      <c r="F6" s="13"/>
      <c r="G6" s="5"/>
      <c r="H6" s="5"/>
      <c r="I6" s="13"/>
      <c r="J6" s="5"/>
      <c r="K6" s="5"/>
      <c r="L6" s="13"/>
    </row>
    <row r="7" spans="1:27" ht="30" customHeight="1" x14ac:dyDescent="0.3">
      <c r="A7" s="73" t="s">
        <v>10</v>
      </c>
      <c r="B7" s="73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27" ht="30" customHeight="1" x14ac:dyDescent="0.3">
      <c r="A8" s="73" t="s">
        <v>10</v>
      </c>
      <c r="B8" s="73" t="s">
        <v>10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27" ht="30" customHeight="1" x14ac:dyDescent="0.3">
      <c r="A9" s="73" t="s">
        <v>10</v>
      </c>
      <c r="B9" s="73" t="s">
        <v>10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27" ht="30" customHeight="1" x14ac:dyDescent="0.3">
      <c r="A10" s="73" t="s">
        <v>10</v>
      </c>
      <c r="B10" s="7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27" ht="30" customHeight="1" x14ac:dyDescent="0.3">
      <c r="A11" s="73" t="s">
        <v>10</v>
      </c>
      <c r="B11" s="73" t="s">
        <v>10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27" ht="30" customHeight="1" x14ac:dyDescent="0.3">
      <c r="A12" s="73" t="s">
        <v>10</v>
      </c>
      <c r="B12" s="73" t="s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27" ht="30" customHeight="1" x14ac:dyDescent="0.3">
      <c r="A13" s="73" t="s">
        <v>10</v>
      </c>
      <c r="B13" s="73" t="s">
        <v>10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27" ht="30" customHeight="1" x14ac:dyDescent="0.3">
      <c r="A14" s="73" t="s">
        <v>10</v>
      </c>
      <c r="B14" s="73" t="s">
        <v>10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27" ht="30" customHeight="1" x14ac:dyDescent="0.3">
      <c r="A15" s="73" t="s">
        <v>10</v>
      </c>
      <c r="B15" s="73" t="s">
        <v>10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27" ht="30" customHeight="1" x14ac:dyDescent="0.3">
      <c r="A16" s="73" t="s">
        <v>10</v>
      </c>
      <c r="B16" s="73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27" ht="30" customHeight="1" x14ac:dyDescent="0.3">
      <c r="A17" s="73" t="s">
        <v>10</v>
      </c>
      <c r="B17" s="73" t="s">
        <v>10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27" ht="30" customHeight="1" x14ac:dyDescent="0.3">
      <c r="A18" s="73" t="s">
        <v>10</v>
      </c>
      <c r="B18" s="73" t="s">
        <v>10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27" ht="30" customHeight="1" x14ac:dyDescent="0.3">
      <c r="A19" s="73" t="s">
        <v>10</v>
      </c>
      <c r="B19" s="73" t="s">
        <v>10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27" ht="26.25" x14ac:dyDescent="0.4">
      <c r="A20" s="78" t="s">
        <v>853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66"/>
      <c r="N20" s="66"/>
      <c r="O20" s="66"/>
      <c r="P20" s="66"/>
      <c r="Q20" s="66"/>
      <c r="R20" s="66"/>
    </row>
    <row r="21" spans="1:27" ht="17.25" customHeight="1" x14ac:dyDescent="0.25">
      <c r="A21" s="79" t="s">
        <v>11</v>
      </c>
      <c r="B21" s="82" t="s">
        <v>12</v>
      </c>
      <c r="C21" s="71" t="s">
        <v>848</v>
      </c>
      <c r="D21" s="72" t="s">
        <v>850</v>
      </c>
      <c r="E21" s="72" t="s">
        <v>851</v>
      </c>
      <c r="F21" s="72" t="s">
        <v>854</v>
      </c>
      <c r="G21" s="72" t="s">
        <v>856</v>
      </c>
      <c r="H21" s="72" t="s">
        <v>859</v>
      </c>
      <c r="I21" s="72" t="s">
        <v>860</v>
      </c>
      <c r="J21" s="72" t="s">
        <v>862</v>
      </c>
      <c r="K21" s="72" t="s">
        <v>863</v>
      </c>
      <c r="L21" s="72" t="s">
        <v>865</v>
      </c>
      <c r="M21" s="66"/>
      <c r="N21" s="66"/>
      <c r="O21" s="66"/>
      <c r="P21" s="66"/>
      <c r="Q21" s="66"/>
      <c r="R21" s="66"/>
    </row>
    <row r="22" spans="1:27" ht="23.25" customHeight="1" x14ac:dyDescent="0.25">
      <c r="A22" s="80"/>
      <c r="B22" s="83"/>
      <c r="C22" s="68" t="s">
        <v>849</v>
      </c>
      <c r="D22" s="69" t="s">
        <v>867</v>
      </c>
      <c r="E22" s="69" t="s">
        <v>852</v>
      </c>
      <c r="F22" s="69" t="s">
        <v>855</v>
      </c>
      <c r="G22" s="69" t="s">
        <v>857</v>
      </c>
      <c r="H22" s="69" t="s">
        <v>858</v>
      </c>
      <c r="I22" s="69" t="s">
        <v>861</v>
      </c>
      <c r="J22" s="69" t="s">
        <v>868</v>
      </c>
      <c r="K22" s="69" t="s">
        <v>864</v>
      </c>
      <c r="L22" s="69" t="s">
        <v>866</v>
      </c>
      <c r="M22" s="66"/>
      <c r="N22" s="66"/>
      <c r="O22" s="66"/>
      <c r="P22" s="66"/>
      <c r="Q22" s="66"/>
      <c r="R22" s="66"/>
    </row>
    <row r="23" spans="1:27" ht="17.25" customHeight="1" x14ac:dyDescent="0.3">
      <c r="A23" s="81"/>
      <c r="B23" s="84"/>
      <c r="C23" s="70" t="s">
        <v>869</v>
      </c>
      <c r="D23" s="70" t="s">
        <v>870</v>
      </c>
      <c r="E23" s="70" t="s">
        <v>871</v>
      </c>
      <c r="F23" s="70" t="s">
        <v>872</v>
      </c>
      <c r="G23" s="70" t="s">
        <v>873</v>
      </c>
      <c r="H23" s="70" t="s">
        <v>871</v>
      </c>
      <c r="I23" s="70" t="s">
        <v>874</v>
      </c>
      <c r="J23" s="70" t="s">
        <v>870</v>
      </c>
      <c r="K23" s="70" t="s">
        <v>875</v>
      </c>
      <c r="L23" s="70" t="s">
        <v>876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30" customHeight="1" x14ac:dyDescent="0.3">
      <c r="A24" s="73" t="s">
        <v>10</v>
      </c>
      <c r="B24" s="73" t="s">
        <v>10</v>
      </c>
      <c r="C24" s="67"/>
      <c r="D24" s="13"/>
      <c r="E24" s="5"/>
      <c r="F24" s="13"/>
      <c r="G24" s="5"/>
      <c r="H24" s="5"/>
      <c r="I24" s="13"/>
      <c r="J24" s="5"/>
      <c r="K24" s="5"/>
      <c r="L24" s="13"/>
    </row>
    <row r="25" spans="1:27" ht="30" customHeight="1" x14ac:dyDescent="0.3">
      <c r="A25" s="73" t="s">
        <v>10</v>
      </c>
      <c r="B25" s="73" t="s">
        <v>10</v>
      </c>
      <c r="C25" s="5"/>
      <c r="D25" s="13"/>
      <c r="E25" s="5"/>
      <c r="F25" s="13"/>
      <c r="G25" s="5"/>
      <c r="H25" s="5"/>
      <c r="I25" s="13"/>
      <c r="J25" s="5"/>
      <c r="K25" s="5"/>
      <c r="L25" s="13"/>
    </row>
    <row r="26" spans="1:27" ht="30" customHeight="1" x14ac:dyDescent="0.3">
      <c r="A26" s="73" t="s">
        <v>10</v>
      </c>
      <c r="B26" s="73" t="s">
        <v>10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27" ht="30" customHeight="1" x14ac:dyDescent="0.3">
      <c r="A27" s="73" t="s">
        <v>10</v>
      </c>
      <c r="B27" s="73" t="s">
        <v>10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27" ht="30" customHeight="1" x14ac:dyDescent="0.3">
      <c r="A28" s="73" t="s">
        <v>10</v>
      </c>
      <c r="B28" s="73" t="s">
        <v>10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27" ht="30" customHeight="1" x14ac:dyDescent="0.3">
      <c r="A29" s="73" t="s">
        <v>10</v>
      </c>
      <c r="B29" s="73" t="s">
        <v>10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27" ht="30" customHeight="1" x14ac:dyDescent="0.3">
      <c r="A30" s="73" t="s">
        <v>10</v>
      </c>
      <c r="B30" s="73" t="s">
        <v>10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27" ht="30" customHeight="1" x14ac:dyDescent="0.3">
      <c r="A31" s="73" t="s">
        <v>10</v>
      </c>
      <c r="B31" s="73" t="s">
        <v>10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27" ht="30" customHeight="1" x14ac:dyDescent="0.3">
      <c r="A32" s="73" t="s">
        <v>10</v>
      </c>
      <c r="B32" s="73" t="s">
        <v>10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27" ht="30" customHeight="1" x14ac:dyDescent="0.3">
      <c r="A33" s="73" t="s">
        <v>10</v>
      </c>
      <c r="B33" s="73" t="s">
        <v>10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27" ht="30" customHeight="1" x14ac:dyDescent="0.3">
      <c r="A34" s="73" t="s">
        <v>10</v>
      </c>
      <c r="B34" s="73" t="s">
        <v>10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27" ht="30" customHeight="1" x14ac:dyDescent="0.3">
      <c r="A35" s="73" t="s">
        <v>10</v>
      </c>
      <c r="B35" s="73" t="s">
        <v>10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27" ht="30" customHeight="1" x14ac:dyDescent="0.3">
      <c r="A36" s="73" t="s">
        <v>10</v>
      </c>
      <c r="B36" s="73" t="s">
        <v>10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27" ht="30" customHeight="1" x14ac:dyDescent="0.3">
      <c r="A37" s="73" t="s">
        <v>10</v>
      </c>
      <c r="B37" s="73" t="s">
        <v>10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27" ht="30" customHeight="1" x14ac:dyDescent="0.3">
      <c r="A38" s="73" t="s">
        <v>10</v>
      </c>
      <c r="B38" s="73" t="s">
        <v>10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27" ht="26.25" x14ac:dyDescent="0.4">
      <c r="A39" s="78" t="s">
        <v>853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66"/>
      <c r="N39" s="66"/>
      <c r="O39" s="66"/>
      <c r="P39" s="66"/>
      <c r="Q39" s="66"/>
      <c r="R39" s="66"/>
    </row>
    <row r="40" spans="1:27" ht="17.25" customHeight="1" x14ac:dyDescent="0.25">
      <c r="A40" s="79" t="s">
        <v>11</v>
      </c>
      <c r="B40" s="82" t="s">
        <v>12</v>
      </c>
      <c r="C40" s="71" t="s">
        <v>848</v>
      </c>
      <c r="D40" s="72" t="s">
        <v>850</v>
      </c>
      <c r="E40" s="72" t="s">
        <v>851</v>
      </c>
      <c r="F40" s="72" t="s">
        <v>854</v>
      </c>
      <c r="G40" s="72" t="s">
        <v>856</v>
      </c>
      <c r="H40" s="72" t="s">
        <v>859</v>
      </c>
      <c r="I40" s="72" t="s">
        <v>860</v>
      </c>
      <c r="J40" s="72" t="s">
        <v>862</v>
      </c>
      <c r="K40" s="72" t="s">
        <v>863</v>
      </c>
      <c r="L40" s="72" t="s">
        <v>865</v>
      </c>
      <c r="M40" s="66"/>
      <c r="N40" s="66"/>
      <c r="O40" s="66"/>
      <c r="P40" s="66"/>
      <c r="Q40" s="66"/>
      <c r="R40" s="66"/>
    </row>
    <row r="41" spans="1:27" ht="23.25" customHeight="1" x14ac:dyDescent="0.25">
      <c r="A41" s="80"/>
      <c r="B41" s="83"/>
      <c r="C41" s="68" t="s">
        <v>849</v>
      </c>
      <c r="D41" s="69" t="s">
        <v>867</v>
      </c>
      <c r="E41" s="69" t="s">
        <v>852</v>
      </c>
      <c r="F41" s="69" t="s">
        <v>855</v>
      </c>
      <c r="G41" s="69" t="s">
        <v>857</v>
      </c>
      <c r="H41" s="69" t="s">
        <v>858</v>
      </c>
      <c r="I41" s="69" t="s">
        <v>861</v>
      </c>
      <c r="J41" s="69" t="s">
        <v>868</v>
      </c>
      <c r="K41" s="69" t="s">
        <v>864</v>
      </c>
      <c r="L41" s="69" t="s">
        <v>866</v>
      </c>
      <c r="M41" s="66"/>
      <c r="N41" s="66"/>
      <c r="O41" s="66"/>
      <c r="P41" s="66"/>
      <c r="Q41" s="66"/>
      <c r="R41" s="66"/>
    </row>
    <row r="42" spans="1:27" ht="17.25" customHeight="1" x14ac:dyDescent="0.3">
      <c r="A42" s="81"/>
      <c r="B42" s="84"/>
      <c r="C42" s="70" t="s">
        <v>869</v>
      </c>
      <c r="D42" s="70" t="s">
        <v>870</v>
      </c>
      <c r="E42" s="70" t="s">
        <v>871</v>
      </c>
      <c r="F42" s="70" t="s">
        <v>872</v>
      </c>
      <c r="G42" s="70" t="s">
        <v>873</v>
      </c>
      <c r="H42" s="70" t="s">
        <v>871</v>
      </c>
      <c r="I42" s="70" t="s">
        <v>874</v>
      </c>
      <c r="J42" s="70" t="s">
        <v>870</v>
      </c>
      <c r="K42" s="70" t="s">
        <v>875</v>
      </c>
      <c r="L42" s="70" t="s">
        <v>876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30" customHeight="1" x14ac:dyDescent="0.3">
      <c r="A43" s="73" t="s">
        <v>10</v>
      </c>
      <c r="B43" s="73" t="s">
        <v>10</v>
      </c>
      <c r="C43" s="67"/>
      <c r="D43" s="13"/>
      <c r="E43" s="5"/>
      <c r="F43" s="13"/>
      <c r="G43" s="5"/>
      <c r="H43" s="5"/>
      <c r="I43" s="13"/>
      <c r="J43" s="5"/>
      <c r="K43" s="5"/>
      <c r="L43" s="13"/>
    </row>
    <row r="44" spans="1:27" ht="30" customHeight="1" x14ac:dyDescent="0.3">
      <c r="A44" s="73" t="s">
        <v>10</v>
      </c>
      <c r="B44" s="73" t="s">
        <v>10</v>
      </c>
      <c r="C44" s="5"/>
      <c r="D44" s="13"/>
      <c r="E44" s="5"/>
      <c r="F44" s="13"/>
      <c r="G44" s="5"/>
      <c r="H44" s="5"/>
      <c r="I44" s="13"/>
      <c r="J44" s="5"/>
      <c r="K44" s="5"/>
      <c r="L44" s="13"/>
    </row>
    <row r="45" spans="1:27" ht="30" customHeight="1" x14ac:dyDescent="0.3">
      <c r="A45" s="73" t="s">
        <v>10</v>
      </c>
      <c r="B45" s="73" t="s">
        <v>10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27" ht="30" customHeight="1" x14ac:dyDescent="0.3">
      <c r="A46" s="73" t="s">
        <v>10</v>
      </c>
      <c r="B46" s="73" t="s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27" ht="30" customHeight="1" x14ac:dyDescent="0.3">
      <c r="A47" s="73" t="s">
        <v>10</v>
      </c>
      <c r="B47" s="73" t="s">
        <v>10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27" ht="30" customHeight="1" x14ac:dyDescent="0.3">
      <c r="A48" s="73" t="s">
        <v>10</v>
      </c>
      <c r="B48" s="73" t="s">
        <v>10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7" ht="30" customHeight="1" x14ac:dyDescent="0.3">
      <c r="A49" s="73" t="s">
        <v>10</v>
      </c>
      <c r="B49" s="73" t="s">
        <v>10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27" ht="30" customHeight="1" x14ac:dyDescent="0.3">
      <c r="A50" s="73" t="s">
        <v>10</v>
      </c>
      <c r="B50" s="73" t="s">
        <v>10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27" ht="30" customHeight="1" x14ac:dyDescent="0.3">
      <c r="A51" s="73" t="s">
        <v>10</v>
      </c>
      <c r="B51" s="73" t="s">
        <v>10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27" ht="30" customHeight="1" x14ac:dyDescent="0.3">
      <c r="A52" s="73" t="s">
        <v>10</v>
      </c>
      <c r="B52" s="73" t="s">
        <v>10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27" ht="30" customHeight="1" x14ac:dyDescent="0.3">
      <c r="A53" s="73" t="s">
        <v>10</v>
      </c>
      <c r="B53" s="73" t="s">
        <v>10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27" ht="30" customHeight="1" x14ac:dyDescent="0.3">
      <c r="A54" s="73" t="s">
        <v>10</v>
      </c>
      <c r="B54" s="73" t="s">
        <v>10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27" ht="30" customHeight="1" x14ac:dyDescent="0.3">
      <c r="A55" s="73" t="s">
        <v>10</v>
      </c>
      <c r="B55" s="73" t="s">
        <v>10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27" ht="30" customHeight="1" x14ac:dyDescent="0.3">
      <c r="A56" s="73" t="s">
        <v>10</v>
      </c>
      <c r="B56" s="73" t="s">
        <v>10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27" ht="30" customHeight="1" x14ac:dyDescent="0.3">
      <c r="A57" s="73" t="s">
        <v>10</v>
      </c>
      <c r="B57" s="73" t="s">
        <v>10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27" ht="26.25" x14ac:dyDescent="0.4">
      <c r="A58" s="78" t="s">
        <v>853</v>
      </c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66"/>
      <c r="N58" s="66"/>
      <c r="O58" s="66"/>
      <c r="P58" s="66"/>
      <c r="Q58" s="66"/>
      <c r="R58" s="66"/>
    </row>
    <row r="59" spans="1:27" ht="17.25" customHeight="1" x14ac:dyDescent="0.25">
      <c r="A59" s="79" t="s">
        <v>11</v>
      </c>
      <c r="B59" s="82" t="s">
        <v>12</v>
      </c>
      <c r="C59" s="71" t="s">
        <v>848</v>
      </c>
      <c r="D59" s="72" t="s">
        <v>850</v>
      </c>
      <c r="E59" s="72" t="s">
        <v>851</v>
      </c>
      <c r="F59" s="72" t="s">
        <v>854</v>
      </c>
      <c r="G59" s="72" t="s">
        <v>856</v>
      </c>
      <c r="H59" s="72" t="s">
        <v>859</v>
      </c>
      <c r="I59" s="72" t="s">
        <v>860</v>
      </c>
      <c r="J59" s="72" t="s">
        <v>862</v>
      </c>
      <c r="K59" s="72" t="s">
        <v>863</v>
      </c>
      <c r="L59" s="72" t="s">
        <v>865</v>
      </c>
      <c r="M59" s="66"/>
      <c r="N59" s="66"/>
      <c r="O59" s="66"/>
      <c r="P59" s="66"/>
      <c r="Q59" s="66"/>
      <c r="R59" s="66"/>
    </row>
    <row r="60" spans="1:27" ht="23.25" customHeight="1" x14ac:dyDescent="0.25">
      <c r="A60" s="80"/>
      <c r="B60" s="83"/>
      <c r="C60" s="68" t="s">
        <v>849</v>
      </c>
      <c r="D60" s="69" t="s">
        <v>867</v>
      </c>
      <c r="E60" s="69" t="s">
        <v>852</v>
      </c>
      <c r="F60" s="69" t="s">
        <v>855</v>
      </c>
      <c r="G60" s="69" t="s">
        <v>857</v>
      </c>
      <c r="H60" s="69" t="s">
        <v>858</v>
      </c>
      <c r="I60" s="69" t="s">
        <v>861</v>
      </c>
      <c r="J60" s="69" t="s">
        <v>868</v>
      </c>
      <c r="K60" s="69" t="s">
        <v>864</v>
      </c>
      <c r="L60" s="69" t="s">
        <v>866</v>
      </c>
      <c r="M60" s="66"/>
      <c r="N60" s="66"/>
      <c r="O60" s="66"/>
      <c r="P60" s="66"/>
      <c r="Q60" s="66"/>
      <c r="R60" s="66"/>
    </row>
    <row r="61" spans="1:27" ht="17.25" customHeight="1" x14ac:dyDescent="0.3">
      <c r="A61" s="81"/>
      <c r="B61" s="84"/>
      <c r="C61" s="70" t="s">
        <v>869</v>
      </c>
      <c r="D61" s="70" t="s">
        <v>870</v>
      </c>
      <c r="E61" s="70" t="s">
        <v>871</v>
      </c>
      <c r="F61" s="70" t="s">
        <v>872</v>
      </c>
      <c r="G61" s="70" t="s">
        <v>873</v>
      </c>
      <c r="H61" s="70" t="s">
        <v>871</v>
      </c>
      <c r="I61" s="70" t="s">
        <v>874</v>
      </c>
      <c r="J61" s="70" t="s">
        <v>870</v>
      </c>
      <c r="K61" s="70" t="s">
        <v>875</v>
      </c>
      <c r="L61" s="70" t="s">
        <v>876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30" customHeight="1" x14ac:dyDescent="0.3">
      <c r="A62" s="73" t="s">
        <v>10</v>
      </c>
      <c r="B62" s="73" t="s">
        <v>10</v>
      </c>
      <c r="C62" s="67"/>
      <c r="D62" s="13"/>
      <c r="E62" s="5"/>
      <c r="F62" s="13"/>
      <c r="G62" s="5"/>
      <c r="H62" s="5"/>
      <c r="I62" s="13"/>
      <c r="J62" s="5"/>
      <c r="K62" s="5"/>
      <c r="L62" s="13"/>
    </row>
    <row r="63" spans="1:27" ht="30" customHeight="1" x14ac:dyDescent="0.3">
      <c r="A63" s="73" t="s">
        <v>10</v>
      </c>
      <c r="B63" s="73" t="s">
        <v>10</v>
      </c>
      <c r="C63" s="5"/>
      <c r="D63" s="13"/>
      <c r="E63" s="5"/>
      <c r="F63" s="13"/>
      <c r="G63" s="5"/>
      <c r="H63" s="5"/>
      <c r="I63" s="13"/>
      <c r="J63" s="5"/>
      <c r="K63" s="5"/>
      <c r="L63" s="13"/>
    </row>
    <row r="64" spans="1:27" ht="30" customHeight="1" x14ac:dyDescent="0.3">
      <c r="A64" s="73" t="s">
        <v>10</v>
      </c>
      <c r="B64" s="73" t="s">
        <v>10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27" ht="30" customHeight="1" x14ac:dyDescent="0.3">
      <c r="A65" s="73" t="s">
        <v>10</v>
      </c>
      <c r="B65" s="73" t="s">
        <v>10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27" ht="30" customHeight="1" x14ac:dyDescent="0.3">
      <c r="A66" s="73" t="s">
        <v>10</v>
      </c>
      <c r="B66" s="73" t="s">
        <v>10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27" ht="30" customHeight="1" x14ac:dyDescent="0.3">
      <c r="A67" s="73" t="s">
        <v>10</v>
      </c>
      <c r="B67" s="73" t="s">
        <v>10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27" ht="30" customHeight="1" x14ac:dyDescent="0.3">
      <c r="A68" s="73" t="s">
        <v>10</v>
      </c>
      <c r="B68" s="73" t="s">
        <v>10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27" ht="30" customHeight="1" x14ac:dyDescent="0.3">
      <c r="A69" s="73" t="s">
        <v>10</v>
      </c>
      <c r="B69" s="73" t="s">
        <v>10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27" ht="30" customHeight="1" x14ac:dyDescent="0.3">
      <c r="A70" s="73" t="s">
        <v>10</v>
      </c>
      <c r="B70" s="73" t="s">
        <v>10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27" ht="30" customHeight="1" x14ac:dyDescent="0.3">
      <c r="A71" s="73" t="s">
        <v>10</v>
      </c>
      <c r="B71" s="73" t="s">
        <v>10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27" ht="30" customHeight="1" x14ac:dyDescent="0.3">
      <c r="A72" s="73" t="s">
        <v>10</v>
      </c>
      <c r="B72" s="73" t="s">
        <v>10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27" ht="30" customHeight="1" x14ac:dyDescent="0.3">
      <c r="A73" s="73" t="s">
        <v>10</v>
      </c>
      <c r="B73" s="73" t="s">
        <v>10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27" ht="30" customHeight="1" x14ac:dyDescent="0.3">
      <c r="A74" s="73" t="s">
        <v>10</v>
      </c>
      <c r="B74" s="73" t="s">
        <v>10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27" ht="30" customHeight="1" x14ac:dyDescent="0.3">
      <c r="A75" s="73" t="s">
        <v>10</v>
      </c>
      <c r="B75" s="73" t="s">
        <v>10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27" ht="30" customHeight="1" x14ac:dyDescent="0.3">
      <c r="A76" s="73" t="s">
        <v>10</v>
      </c>
      <c r="B76" s="73" t="s">
        <v>10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27" ht="26.25" x14ac:dyDescent="0.4">
      <c r="A77" s="78" t="s">
        <v>853</v>
      </c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66"/>
      <c r="N77" s="66"/>
      <c r="O77" s="66"/>
      <c r="P77" s="66"/>
      <c r="Q77" s="66"/>
      <c r="R77" s="66"/>
    </row>
    <row r="78" spans="1:27" ht="17.25" customHeight="1" x14ac:dyDescent="0.25">
      <c r="A78" s="79" t="s">
        <v>11</v>
      </c>
      <c r="B78" s="82" t="s">
        <v>12</v>
      </c>
      <c r="C78" s="71" t="s">
        <v>848</v>
      </c>
      <c r="D78" s="72" t="s">
        <v>850</v>
      </c>
      <c r="E78" s="72" t="s">
        <v>851</v>
      </c>
      <c r="F78" s="72" t="s">
        <v>854</v>
      </c>
      <c r="G78" s="72" t="s">
        <v>856</v>
      </c>
      <c r="H78" s="72" t="s">
        <v>859</v>
      </c>
      <c r="I78" s="72" t="s">
        <v>860</v>
      </c>
      <c r="J78" s="72" t="s">
        <v>862</v>
      </c>
      <c r="K78" s="72" t="s">
        <v>863</v>
      </c>
      <c r="L78" s="72" t="s">
        <v>865</v>
      </c>
      <c r="M78" s="66"/>
      <c r="N78" s="66"/>
      <c r="O78" s="66"/>
      <c r="P78" s="66"/>
      <c r="Q78" s="66"/>
      <c r="R78" s="66"/>
    </row>
    <row r="79" spans="1:27" ht="23.25" customHeight="1" x14ac:dyDescent="0.25">
      <c r="A79" s="80"/>
      <c r="B79" s="83"/>
      <c r="C79" s="68" t="s">
        <v>849</v>
      </c>
      <c r="D79" s="69" t="s">
        <v>867</v>
      </c>
      <c r="E79" s="69" t="s">
        <v>852</v>
      </c>
      <c r="F79" s="69" t="s">
        <v>855</v>
      </c>
      <c r="G79" s="69" t="s">
        <v>857</v>
      </c>
      <c r="H79" s="69" t="s">
        <v>858</v>
      </c>
      <c r="I79" s="69" t="s">
        <v>861</v>
      </c>
      <c r="J79" s="69" t="s">
        <v>868</v>
      </c>
      <c r="K79" s="69" t="s">
        <v>864</v>
      </c>
      <c r="L79" s="69" t="s">
        <v>866</v>
      </c>
      <c r="M79" s="66"/>
      <c r="N79" s="66"/>
      <c r="O79" s="66"/>
      <c r="P79" s="66"/>
      <c r="Q79" s="66"/>
      <c r="R79" s="66"/>
    </row>
    <row r="80" spans="1:27" ht="17.25" customHeight="1" x14ac:dyDescent="0.3">
      <c r="A80" s="81"/>
      <c r="B80" s="84"/>
      <c r="C80" s="70" t="s">
        <v>869</v>
      </c>
      <c r="D80" s="70" t="s">
        <v>870</v>
      </c>
      <c r="E80" s="70" t="s">
        <v>871</v>
      </c>
      <c r="F80" s="70" t="s">
        <v>872</v>
      </c>
      <c r="G80" s="70" t="s">
        <v>873</v>
      </c>
      <c r="H80" s="70" t="s">
        <v>871</v>
      </c>
      <c r="I80" s="70" t="s">
        <v>874</v>
      </c>
      <c r="J80" s="70" t="s">
        <v>870</v>
      </c>
      <c r="K80" s="70" t="s">
        <v>875</v>
      </c>
      <c r="L80" s="70" t="s">
        <v>876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18" ht="30" customHeight="1" x14ac:dyDescent="0.3">
      <c r="A81" s="73" t="s">
        <v>10</v>
      </c>
      <c r="B81" s="73" t="s">
        <v>10</v>
      </c>
      <c r="C81" s="67"/>
      <c r="D81" s="13"/>
      <c r="E81" s="5"/>
      <c r="F81" s="13"/>
      <c r="G81" s="5"/>
      <c r="H81" s="5"/>
      <c r="I81" s="13"/>
      <c r="J81" s="5"/>
      <c r="K81" s="5"/>
      <c r="L81" s="13"/>
    </row>
    <row r="82" spans="1:18" ht="30" customHeight="1" x14ac:dyDescent="0.3">
      <c r="A82" s="73" t="s">
        <v>10</v>
      </c>
      <c r="B82" s="73" t="s">
        <v>10</v>
      </c>
      <c r="C82" s="5"/>
      <c r="D82" s="13"/>
      <c r="E82" s="5"/>
      <c r="F82" s="13"/>
      <c r="G82" s="5"/>
      <c r="H82" s="5"/>
      <c r="I82" s="13"/>
      <c r="J82" s="5"/>
      <c r="K82" s="5"/>
      <c r="L82" s="13"/>
    </row>
    <row r="83" spans="1:18" ht="30" customHeight="1" x14ac:dyDescent="0.3">
      <c r="A83" s="73" t="s">
        <v>10</v>
      </c>
      <c r="B83" s="73" t="s">
        <v>10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8" ht="30" customHeight="1" x14ac:dyDescent="0.3">
      <c r="A84" s="73" t="s">
        <v>10</v>
      </c>
      <c r="B84" s="73" t="s">
        <v>10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8" ht="30" customHeight="1" x14ac:dyDescent="0.3">
      <c r="A85" s="73" t="s">
        <v>10</v>
      </c>
      <c r="B85" s="73" t="s">
        <v>10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8" ht="30" customHeight="1" x14ac:dyDescent="0.3">
      <c r="A86" s="73" t="s">
        <v>10</v>
      </c>
      <c r="B86" s="73" t="s">
        <v>10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8" ht="30" customHeight="1" x14ac:dyDescent="0.3">
      <c r="A87" s="73" t="s">
        <v>10</v>
      </c>
      <c r="B87" s="73" t="s">
        <v>10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8" ht="30" customHeight="1" x14ac:dyDescent="0.3">
      <c r="A88" s="73" t="s">
        <v>10</v>
      </c>
      <c r="B88" s="73" t="s">
        <v>10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8" ht="30" customHeight="1" x14ac:dyDescent="0.3">
      <c r="A89" s="73" t="s">
        <v>10</v>
      </c>
      <c r="B89" s="73" t="s">
        <v>10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8" ht="30" customHeight="1" x14ac:dyDescent="0.3">
      <c r="A90" s="73" t="s">
        <v>10</v>
      </c>
      <c r="B90" s="73" t="s">
        <v>10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8" ht="30" customHeight="1" x14ac:dyDescent="0.3">
      <c r="A91" s="73" t="s">
        <v>10</v>
      </c>
      <c r="B91" s="73" t="s">
        <v>10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8" ht="30" customHeight="1" x14ac:dyDescent="0.3">
      <c r="A92" s="73" t="s">
        <v>10</v>
      </c>
      <c r="B92" s="73" t="s">
        <v>10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8" ht="30" customHeight="1" x14ac:dyDescent="0.3">
      <c r="A93" s="73" t="s">
        <v>10</v>
      </c>
      <c r="B93" s="73" t="s">
        <v>10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8" ht="30" customHeight="1" x14ac:dyDescent="0.3">
      <c r="A94" s="73" t="s">
        <v>10</v>
      </c>
      <c r="B94" s="73" t="s">
        <v>10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8" ht="30" customHeight="1" x14ac:dyDescent="0.3">
      <c r="A95" s="73" t="s">
        <v>10</v>
      </c>
      <c r="B95" s="73" t="s">
        <v>10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8" ht="26.25" x14ac:dyDescent="0.4">
      <c r="A96" s="78" t="s">
        <v>853</v>
      </c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66"/>
      <c r="N96" s="66"/>
      <c r="O96" s="66"/>
      <c r="P96" s="66"/>
      <c r="Q96" s="66"/>
      <c r="R96" s="66"/>
    </row>
    <row r="97" spans="1:27" ht="17.25" customHeight="1" x14ac:dyDescent="0.25">
      <c r="A97" s="79" t="s">
        <v>11</v>
      </c>
      <c r="B97" s="82" t="s">
        <v>12</v>
      </c>
      <c r="C97" s="71" t="s">
        <v>848</v>
      </c>
      <c r="D97" s="72" t="s">
        <v>850</v>
      </c>
      <c r="E97" s="72" t="s">
        <v>851</v>
      </c>
      <c r="F97" s="72" t="s">
        <v>854</v>
      </c>
      <c r="G97" s="72" t="s">
        <v>856</v>
      </c>
      <c r="H97" s="72" t="s">
        <v>859</v>
      </c>
      <c r="I97" s="72" t="s">
        <v>860</v>
      </c>
      <c r="J97" s="72" t="s">
        <v>862</v>
      </c>
      <c r="K97" s="72" t="s">
        <v>863</v>
      </c>
      <c r="L97" s="72" t="s">
        <v>865</v>
      </c>
      <c r="M97" s="66"/>
      <c r="N97" s="66"/>
      <c r="O97" s="66"/>
      <c r="P97" s="66"/>
      <c r="Q97" s="66"/>
      <c r="R97" s="66"/>
    </row>
    <row r="98" spans="1:27" ht="23.25" customHeight="1" x14ac:dyDescent="0.25">
      <c r="A98" s="80"/>
      <c r="B98" s="83"/>
      <c r="C98" s="68" t="s">
        <v>849</v>
      </c>
      <c r="D98" s="69" t="s">
        <v>867</v>
      </c>
      <c r="E98" s="69" t="s">
        <v>852</v>
      </c>
      <c r="F98" s="69" t="s">
        <v>855</v>
      </c>
      <c r="G98" s="69" t="s">
        <v>857</v>
      </c>
      <c r="H98" s="69" t="s">
        <v>858</v>
      </c>
      <c r="I98" s="69" t="s">
        <v>861</v>
      </c>
      <c r="J98" s="69" t="s">
        <v>868</v>
      </c>
      <c r="K98" s="69" t="s">
        <v>864</v>
      </c>
      <c r="L98" s="69" t="s">
        <v>866</v>
      </c>
      <c r="M98" s="66"/>
      <c r="N98" s="66"/>
      <c r="O98" s="66"/>
      <c r="P98" s="66"/>
      <c r="Q98" s="66"/>
      <c r="R98" s="66"/>
    </row>
    <row r="99" spans="1:27" ht="17.25" customHeight="1" x14ac:dyDescent="0.3">
      <c r="A99" s="81"/>
      <c r="B99" s="84"/>
      <c r="C99" s="70" t="s">
        <v>869</v>
      </c>
      <c r="D99" s="70" t="s">
        <v>870</v>
      </c>
      <c r="E99" s="70" t="s">
        <v>871</v>
      </c>
      <c r="F99" s="70" t="s">
        <v>872</v>
      </c>
      <c r="G99" s="70" t="s">
        <v>873</v>
      </c>
      <c r="H99" s="70" t="s">
        <v>871</v>
      </c>
      <c r="I99" s="70" t="s">
        <v>874</v>
      </c>
      <c r="J99" s="70" t="s">
        <v>870</v>
      </c>
      <c r="K99" s="70" t="s">
        <v>875</v>
      </c>
      <c r="L99" s="70" t="s">
        <v>876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30" customHeight="1" x14ac:dyDescent="0.3">
      <c r="A100" s="73" t="s">
        <v>10</v>
      </c>
      <c r="B100" s="73" t="s">
        <v>10</v>
      </c>
      <c r="C100" s="67"/>
      <c r="D100" s="13"/>
      <c r="E100" s="5"/>
      <c r="F100" s="13"/>
      <c r="G100" s="5"/>
      <c r="H100" s="5"/>
      <c r="I100" s="13"/>
      <c r="J100" s="5"/>
      <c r="K100" s="5"/>
      <c r="L100" s="13"/>
    </row>
    <row r="101" spans="1:27" ht="30" customHeight="1" x14ac:dyDescent="0.3">
      <c r="A101" s="73" t="s">
        <v>10</v>
      </c>
      <c r="B101" s="73" t="s">
        <v>10</v>
      </c>
      <c r="C101" s="5"/>
      <c r="D101" s="13"/>
      <c r="E101" s="5"/>
      <c r="F101" s="13"/>
      <c r="G101" s="5"/>
      <c r="H101" s="5"/>
      <c r="I101" s="13"/>
      <c r="J101" s="5"/>
      <c r="K101" s="5"/>
      <c r="L101" s="13"/>
    </row>
    <row r="102" spans="1:27" ht="30" customHeight="1" x14ac:dyDescent="0.3">
      <c r="A102" s="73" t="s">
        <v>10</v>
      </c>
      <c r="B102" s="73" t="s">
        <v>10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27" ht="30" customHeight="1" x14ac:dyDescent="0.3">
      <c r="A103" s="73" t="s">
        <v>10</v>
      </c>
      <c r="B103" s="73" t="s">
        <v>10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27" ht="30" customHeight="1" x14ac:dyDescent="0.3">
      <c r="A104" s="73" t="s">
        <v>10</v>
      </c>
      <c r="B104" s="73" t="s">
        <v>10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27" ht="30" customHeight="1" x14ac:dyDescent="0.3">
      <c r="A105" s="73" t="s">
        <v>10</v>
      </c>
      <c r="B105" s="73" t="s">
        <v>10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27" ht="30" customHeight="1" x14ac:dyDescent="0.3">
      <c r="A106" s="73" t="s">
        <v>10</v>
      </c>
      <c r="B106" s="73" t="s">
        <v>10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27" ht="30" customHeight="1" x14ac:dyDescent="0.3">
      <c r="A107" s="73" t="s">
        <v>10</v>
      </c>
      <c r="B107" s="73" t="s">
        <v>10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27" ht="30" customHeight="1" x14ac:dyDescent="0.3">
      <c r="A108" s="73" t="s">
        <v>10</v>
      </c>
      <c r="B108" s="73" t="s">
        <v>10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27" ht="30" customHeight="1" x14ac:dyDescent="0.3">
      <c r="A109" s="73" t="s">
        <v>10</v>
      </c>
      <c r="B109" s="73" t="s">
        <v>10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27" ht="30" customHeight="1" x14ac:dyDescent="0.3">
      <c r="A110" s="73" t="s">
        <v>10</v>
      </c>
      <c r="B110" s="73" t="s">
        <v>10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27" ht="30" customHeight="1" x14ac:dyDescent="0.3">
      <c r="A111" s="73" t="s">
        <v>10</v>
      </c>
      <c r="B111" s="73" t="s">
        <v>10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27" ht="30" customHeight="1" x14ac:dyDescent="0.3">
      <c r="A112" s="73" t="s">
        <v>10</v>
      </c>
      <c r="B112" s="73" t="s">
        <v>10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30" customHeight="1" x14ac:dyDescent="0.3">
      <c r="A113" s="73" t="s">
        <v>10</v>
      </c>
      <c r="B113" s="73" t="s">
        <v>10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30" customHeight="1" x14ac:dyDescent="0.3">
      <c r="A114" s="73" t="s">
        <v>10</v>
      </c>
      <c r="B114" s="73" t="s">
        <v>10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</sheetData>
  <mergeCells count="18">
    <mergeCell ref="A97:A99"/>
    <mergeCell ref="B97:B99"/>
    <mergeCell ref="A96:L96"/>
    <mergeCell ref="A78:A80"/>
    <mergeCell ref="B78:B80"/>
    <mergeCell ref="A1:L1"/>
    <mergeCell ref="A20:L20"/>
    <mergeCell ref="A39:L39"/>
    <mergeCell ref="A58:L58"/>
    <mergeCell ref="A77:L77"/>
    <mergeCell ref="A59:A61"/>
    <mergeCell ref="B59:B61"/>
    <mergeCell ref="A21:A23"/>
    <mergeCell ref="B21:B23"/>
    <mergeCell ref="A40:A42"/>
    <mergeCell ref="B40:B42"/>
    <mergeCell ref="A2:A4"/>
    <mergeCell ref="B2:B4"/>
  </mergeCells>
  <pageMargins left="0.1" right="0.1" top="0.55000000000000004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Newbies</vt:lpstr>
      <vt:lpstr>Under 25</vt:lpstr>
      <vt:lpstr>25+</vt:lpstr>
      <vt:lpstr>50+</vt:lpstr>
      <vt:lpstr>100+</vt:lpstr>
      <vt:lpstr> Attendance Stats</vt:lpstr>
      <vt:lpstr>Team Circuit Races</vt:lpstr>
      <vt:lpstr>'100+'!Print_Area</vt:lpstr>
      <vt:lpstr>'25+'!Print_Area</vt:lpstr>
      <vt:lpstr>'50+'!Print_Area</vt:lpstr>
      <vt:lpstr>Newbies!Print_Area</vt:lpstr>
      <vt:lpstr>'Under 25'!Print_Area</vt:lpstr>
      <vt:lpstr>'100+'!Print_Titles</vt:lpstr>
      <vt:lpstr>'25+'!Print_Titles</vt:lpstr>
      <vt:lpstr>'50+'!Print_Titles</vt:lpstr>
      <vt:lpstr>Newbies!Print_Titles</vt:lpstr>
      <vt:lpstr>'Under 25'!Print_Titles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 City Running</dc:creator>
  <cp:lastModifiedBy>Silent H</cp:lastModifiedBy>
  <cp:lastPrinted>2017-06-12T18:38:10Z</cp:lastPrinted>
  <dcterms:created xsi:type="dcterms:W3CDTF">2016-01-10T17:10:22Z</dcterms:created>
  <dcterms:modified xsi:type="dcterms:W3CDTF">2017-07-01T03:39:03Z</dcterms:modified>
</cp:coreProperties>
</file>