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네티브\OneDrive\문서\네티브\Project\북클럽\산출물\01.사업관리\"/>
    </mc:Choice>
  </mc:AlternateContent>
  <bookViews>
    <workbookView xWindow="480" yWindow="792" windowWidth="11808" windowHeight="4944" activeTab="2"/>
  </bookViews>
  <sheets>
    <sheet name="표지" sheetId="6" r:id="rId1"/>
    <sheet name="개정이력" sheetId="8" r:id="rId2"/>
    <sheet name="WBS" sheetId="5" r:id="rId3"/>
    <sheet name="기초데이터_삭제불가" sheetId="7" r:id="rId4"/>
    <sheet name="Sheet4" sheetId="9" r:id="rId5"/>
  </sheets>
  <definedNames>
    <definedName name="_xlnm._FilterDatabase" localSheetId="2" hidden="1">WBS!$A$6:$V$146</definedName>
  </definedNames>
  <calcPr calcId="162913"/>
</workbook>
</file>

<file path=xl/calcChain.xml><?xml version="1.0" encoding="utf-8"?>
<calcChain xmlns="http://schemas.openxmlformats.org/spreadsheetml/2006/main">
  <c r="T21" i="5" l="1"/>
  <c r="M92" i="5" l="1"/>
  <c r="M144" i="5"/>
  <c r="L144" i="5"/>
  <c r="N140" i="5" l="1"/>
  <c r="N139" i="5"/>
  <c r="N137" i="5"/>
  <c r="N136" i="5"/>
  <c r="N138" i="5" l="1"/>
  <c r="N135" i="5"/>
  <c r="N132" i="5"/>
  <c r="N134" i="5"/>
  <c r="N133" i="5"/>
  <c r="N124" i="5"/>
  <c r="N125" i="5"/>
  <c r="N126" i="5"/>
  <c r="N127" i="5"/>
  <c r="N128" i="5"/>
  <c r="N129" i="5"/>
  <c r="N130" i="5"/>
  <c r="N123" i="5"/>
  <c r="N120" i="5"/>
  <c r="M105" i="5"/>
  <c r="O21" i="5"/>
  <c r="L121" i="5"/>
  <c r="K121" i="5"/>
  <c r="K96" i="5"/>
  <c r="L96" i="5"/>
  <c r="L118" i="5"/>
  <c r="Q104" i="5"/>
  <c r="M104" i="5"/>
  <c r="Q103" i="5"/>
  <c r="M103" i="5"/>
  <c r="Q102" i="5"/>
  <c r="M102" i="5"/>
  <c r="Q101" i="5"/>
  <c r="M101" i="5"/>
  <c r="L82" i="5"/>
  <c r="K82" i="5"/>
  <c r="B7" i="7" l="1"/>
  <c r="B8" i="7"/>
  <c r="B9" i="7"/>
  <c r="B10" i="7"/>
  <c r="P25" i="5" l="1"/>
  <c r="O25" i="5"/>
  <c r="T25" i="5"/>
  <c r="P33" i="5" l="1"/>
  <c r="O33" i="5"/>
  <c r="T33" i="5"/>
  <c r="Q34" i="5" l="1"/>
  <c r="M34" i="5"/>
  <c r="M33" i="5" s="1"/>
  <c r="N34" i="5" l="1"/>
  <c r="U34" i="5" s="1"/>
  <c r="Q32" i="5"/>
  <c r="Q30" i="5"/>
  <c r="Q31" i="5"/>
  <c r="Q27" i="5"/>
  <c r="Q26" i="5"/>
  <c r="M27" i="5"/>
  <c r="M26" i="5"/>
  <c r="K25" i="5"/>
  <c r="Q25" i="5" l="1"/>
  <c r="M25" i="5"/>
  <c r="N27" i="5" s="1"/>
  <c r="U27" i="5" s="1"/>
  <c r="N26" i="5" l="1"/>
  <c r="U26" i="5" s="1"/>
  <c r="O18" i="5" l="1"/>
  <c r="O12" i="5"/>
  <c r="P12" i="5"/>
  <c r="Q145" i="5" l="1"/>
  <c r="Q144" i="5" s="1"/>
  <c r="M145" i="5"/>
  <c r="T144" i="5"/>
  <c r="P144" i="5"/>
  <c r="O144" i="5"/>
  <c r="K144" i="5"/>
  <c r="K141" i="5" s="1"/>
  <c r="Q143" i="5"/>
  <c r="Q142" i="5" s="1"/>
  <c r="M142" i="5"/>
  <c r="T142" i="5"/>
  <c r="P142" i="5"/>
  <c r="O142" i="5"/>
  <c r="L142" i="5"/>
  <c r="K142" i="5"/>
  <c r="Q140" i="5"/>
  <c r="M140" i="5"/>
  <c r="Q139" i="5"/>
  <c r="M139" i="5"/>
  <c r="T138" i="5"/>
  <c r="P138" i="5"/>
  <c r="O138" i="5"/>
  <c r="L138" i="5"/>
  <c r="K138" i="5"/>
  <c r="Q137" i="5"/>
  <c r="M137" i="5"/>
  <c r="Q136" i="5"/>
  <c r="T135" i="5"/>
  <c r="P135" i="5"/>
  <c r="O135" i="5"/>
  <c r="L135" i="5"/>
  <c r="K135" i="5"/>
  <c r="Q134" i="5"/>
  <c r="M134" i="5"/>
  <c r="Q133" i="5"/>
  <c r="Q132" i="5" s="1"/>
  <c r="M133" i="5"/>
  <c r="T132" i="5"/>
  <c r="P132" i="5"/>
  <c r="O132" i="5"/>
  <c r="L132" i="5"/>
  <c r="K132" i="5"/>
  <c r="T131" i="5"/>
  <c r="R131" i="5"/>
  <c r="V131" i="5" s="1"/>
  <c r="Q131" i="5"/>
  <c r="Q130" i="5"/>
  <c r="M130" i="5"/>
  <c r="Q128" i="5"/>
  <c r="M128" i="5"/>
  <c r="Q126" i="5"/>
  <c r="M126" i="5"/>
  <c r="Q124" i="5"/>
  <c r="M124" i="5"/>
  <c r="Q129" i="5"/>
  <c r="M129" i="5"/>
  <c r="Q125" i="5"/>
  <c r="M125" i="5"/>
  <c r="Q127" i="5"/>
  <c r="M127" i="5"/>
  <c r="Q123" i="5"/>
  <c r="M123" i="5"/>
  <c r="T122" i="5"/>
  <c r="P122" i="5"/>
  <c r="O122" i="5"/>
  <c r="L122" i="5"/>
  <c r="K122" i="5"/>
  <c r="Q100" i="5"/>
  <c r="M100" i="5"/>
  <c r="Q99" i="5"/>
  <c r="M99" i="5"/>
  <c r="Q98" i="5"/>
  <c r="M98" i="5"/>
  <c r="Q97" i="5"/>
  <c r="M97" i="5"/>
  <c r="T96" i="5"/>
  <c r="P96" i="5"/>
  <c r="O96" i="5"/>
  <c r="Q95" i="5"/>
  <c r="M95" i="5"/>
  <c r="Q94" i="5"/>
  <c r="M94" i="5"/>
  <c r="Q93" i="5"/>
  <c r="M93" i="5"/>
  <c r="Q92" i="5"/>
  <c r="Q91" i="5"/>
  <c r="M91" i="5"/>
  <c r="Q90" i="5"/>
  <c r="M90" i="5"/>
  <c r="T89" i="5"/>
  <c r="P89" i="5"/>
  <c r="O89" i="5"/>
  <c r="L89" i="5"/>
  <c r="L81" i="5" s="1"/>
  <c r="K89" i="5"/>
  <c r="K81" i="5" s="1"/>
  <c r="Q48" i="5"/>
  <c r="M48" i="5"/>
  <c r="Q45" i="5"/>
  <c r="M45" i="5"/>
  <c r="Q44" i="5"/>
  <c r="M44" i="5"/>
  <c r="M16" i="5"/>
  <c r="Q16" i="5"/>
  <c r="Q17" i="5"/>
  <c r="M32" i="5"/>
  <c r="M31" i="5"/>
  <c r="M30" i="5"/>
  <c r="Q29" i="5"/>
  <c r="M29" i="5"/>
  <c r="T28" i="5"/>
  <c r="P28" i="5"/>
  <c r="O28" i="5"/>
  <c r="L28" i="5"/>
  <c r="K28" i="5"/>
  <c r="L18" i="5"/>
  <c r="M122" i="5" l="1"/>
  <c r="M121" i="5" s="1"/>
  <c r="M132" i="5"/>
  <c r="M138" i="5"/>
  <c r="M96" i="5"/>
  <c r="N97" i="5"/>
  <c r="N100" i="5"/>
  <c r="U100" i="5" s="1"/>
  <c r="P131" i="5"/>
  <c r="T141" i="5"/>
  <c r="Q138" i="5"/>
  <c r="Q141" i="5"/>
  <c r="L131" i="5"/>
  <c r="L141" i="5"/>
  <c r="O141" i="5"/>
  <c r="O131" i="5"/>
  <c r="P141" i="5"/>
  <c r="K131" i="5"/>
  <c r="Q135" i="5"/>
  <c r="M141" i="5"/>
  <c r="M135" i="5"/>
  <c r="Q122" i="5"/>
  <c r="Q96" i="5"/>
  <c r="M89" i="5"/>
  <c r="M81" i="5" s="1"/>
  <c r="N96" i="5" s="1"/>
  <c r="Q89" i="5"/>
  <c r="M28" i="5"/>
  <c r="Q28" i="5"/>
  <c r="N143" i="5" l="1"/>
  <c r="N145" i="5"/>
  <c r="N144" i="5"/>
  <c r="N142" i="5"/>
  <c r="N146" i="5"/>
  <c r="M131" i="5"/>
  <c r="N99" i="5"/>
  <c r="U99" i="5" s="1"/>
  <c r="N104" i="5"/>
  <c r="U104" i="5" s="1"/>
  <c r="N102" i="5"/>
  <c r="U102" i="5" s="1"/>
  <c r="N103" i="5"/>
  <c r="U103" i="5" s="1"/>
  <c r="N101" i="5"/>
  <c r="U101" i="5" s="1"/>
  <c r="N98" i="5"/>
  <c r="U98" i="5" s="1"/>
  <c r="N91" i="5"/>
  <c r="N94" i="5"/>
  <c r="N92" i="5"/>
  <c r="N95" i="5"/>
  <c r="N93" i="5"/>
  <c r="N90" i="5"/>
  <c r="N30" i="5"/>
  <c r="N32" i="5"/>
  <c r="N29" i="5"/>
  <c r="N31" i="5"/>
  <c r="U97" i="5"/>
  <c r="B6" i="7" l="1"/>
  <c r="B5" i="7"/>
  <c r="B4" i="7"/>
  <c r="B3" i="7"/>
  <c r="S3" i="5" l="1"/>
  <c r="U3" i="5" s="1"/>
  <c r="M66" i="5"/>
  <c r="K78" i="5"/>
  <c r="L78" i="5"/>
  <c r="T12" i="5" l="1"/>
  <c r="T18" i="5"/>
  <c r="L2" i="5"/>
  <c r="T22" i="5"/>
  <c r="R130" i="5" l="1"/>
  <c r="R129" i="5"/>
  <c r="R107" i="5"/>
  <c r="R101" i="5"/>
  <c r="R102" i="5"/>
  <c r="R104" i="5"/>
  <c r="R103" i="5"/>
  <c r="R37" i="5"/>
  <c r="R39" i="5"/>
  <c r="R40" i="5"/>
  <c r="R41" i="5"/>
  <c r="R43" i="5"/>
  <c r="R44" i="5"/>
  <c r="R45" i="5"/>
  <c r="R34" i="5"/>
  <c r="R33" i="5" s="1"/>
  <c r="T11" i="5"/>
  <c r="R26" i="5"/>
  <c r="R27" i="5"/>
  <c r="R137" i="5"/>
  <c r="R133" i="5"/>
  <c r="R140" i="5"/>
  <c r="R134" i="5"/>
  <c r="R146" i="5"/>
  <c r="V146" i="5" s="1"/>
  <c r="R143" i="5"/>
  <c r="R139" i="5"/>
  <c r="R136" i="5"/>
  <c r="R145" i="5"/>
  <c r="R128" i="5"/>
  <c r="V128" i="5" s="1"/>
  <c r="R124" i="5"/>
  <c r="V124" i="5" s="1"/>
  <c r="R126" i="5"/>
  <c r="R125" i="5"/>
  <c r="V125" i="5" s="1"/>
  <c r="R127" i="5"/>
  <c r="R123" i="5"/>
  <c r="R100" i="5"/>
  <c r="R98" i="5"/>
  <c r="R99" i="5"/>
  <c r="R97" i="5"/>
  <c r="R91" i="5"/>
  <c r="R90" i="5"/>
  <c r="R95" i="5"/>
  <c r="R94" i="5"/>
  <c r="R93" i="5"/>
  <c r="R92" i="5"/>
  <c r="R48" i="5"/>
  <c r="R16" i="5"/>
  <c r="V16" i="5" s="1"/>
  <c r="R30" i="5"/>
  <c r="R32" i="5"/>
  <c r="V32" i="5" s="1"/>
  <c r="R29" i="5"/>
  <c r="R31" i="5"/>
  <c r="R10" i="5"/>
  <c r="R14" i="5"/>
  <c r="R23" i="5"/>
  <c r="R49" i="5"/>
  <c r="R52" i="5"/>
  <c r="R54" i="5"/>
  <c r="R73" i="5"/>
  <c r="R84" i="5"/>
  <c r="R111" i="5"/>
  <c r="R119" i="5"/>
  <c r="R15" i="5"/>
  <c r="R19" i="5"/>
  <c r="R24" i="5"/>
  <c r="R20" i="5"/>
  <c r="R53" i="5"/>
  <c r="R57" i="5"/>
  <c r="R64" i="5"/>
  <c r="R75" i="5"/>
  <c r="R77" i="5"/>
  <c r="R86" i="5"/>
  <c r="R88" i="5"/>
  <c r="R113" i="5"/>
  <c r="R9" i="5"/>
  <c r="R13" i="5"/>
  <c r="R60" i="5"/>
  <c r="R70" i="5"/>
  <c r="R80" i="5"/>
  <c r="R83" i="5"/>
  <c r="R114" i="5"/>
  <c r="R110" i="5"/>
  <c r="R87" i="5"/>
  <c r="R120" i="5"/>
  <c r="R55" i="5"/>
  <c r="R58" i="5"/>
  <c r="R61" i="5"/>
  <c r="R66" i="5"/>
  <c r="R71" i="5"/>
  <c r="R85" i="5"/>
  <c r="R108" i="5"/>
  <c r="R117" i="5"/>
  <c r="R47" i="5"/>
  <c r="R62" i="5"/>
  <c r="R67" i="5"/>
  <c r="R72" i="5"/>
  <c r="R50" i="5"/>
  <c r="R63" i="5"/>
  <c r="K22" i="5"/>
  <c r="K65" i="5"/>
  <c r="K106" i="5"/>
  <c r="M64" i="5"/>
  <c r="Q41" i="5"/>
  <c r="M41" i="5"/>
  <c r="Q72" i="5"/>
  <c r="M72" i="5"/>
  <c r="Q75" i="5"/>
  <c r="M75" i="5"/>
  <c r="Q9" i="5"/>
  <c r="M9" i="5"/>
  <c r="V103" i="5" l="1"/>
  <c r="S103" i="5"/>
  <c r="V104" i="5"/>
  <c r="S104" i="5"/>
  <c r="V102" i="5"/>
  <c r="S102" i="5"/>
  <c r="V101" i="5"/>
  <c r="S101" i="5"/>
  <c r="S34" i="5"/>
  <c r="V26" i="5"/>
  <c r="R25" i="5"/>
  <c r="V34" i="5"/>
  <c r="S27" i="5"/>
  <c r="V27" i="5"/>
  <c r="S26" i="5"/>
  <c r="V145" i="5"/>
  <c r="V136" i="5"/>
  <c r="V139" i="5"/>
  <c r="V143" i="5"/>
  <c r="V134" i="5"/>
  <c r="V140" i="5"/>
  <c r="V133" i="5"/>
  <c r="V137" i="5"/>
  <c r="V130" i="5"/>
  <c r="V126" i="5"/>
  <c r="V129" i="5"/>
  <c r="V123" i="5"/>
  <c r="V127" i="5"/>
  <c r="V97" i="5"/>
  <c r="S97" i="5"/>
  <c r="R96" i="5"/>
  <c r="V96" i="5" s="1"/>
  <c r="V99" i="5"/>
  <c r="S99" i="5"/>
  <c r="S98" i="5"/>
  <c r="V98" i="5"/>
  <c r="V100" i="5"/>
  <c r="S100" i="5"/>
  <c r="V92" i="5"/>
  <c r="V95" i="5"/>
  <c r="V90" i="5"/>
  <c r="V91" i="5"/>
  <c r="V93" i="5"/>
  <c r="V94" i="5"/>
  <c r="V48" i="5"/>
  <c r="V45" i="5"/>
  <c r="V44" i="5"/>
  <c r="V31" i="5"/>
  <c r="V29" i="5"/>
  <c r="V30" i="5"/>
  <c r="K12" i="5" l="1"/>
  <c r="K11" i="5" s="1"/>
  <c r="L12" i="5"/>
  <c r="L11" i="5" s="1"/>
  <c r="P35" i="5" l="1"/>
  <c r="O35" i="5"/>
  <c r="T118" i="5"/>
  <c r="T116" i="5"/>
  <c r="T112" i="5"/>
  <c r="T109" i="5"/>
  <c r="T106" i="5"/>
  <c r="T82" i="5"/>
  <c r="T81" i="5" s="1"/>
  <c r="T78" i="5"/>
  <c r="T65" i="5"/>
  <c r="T59" i="5"/>
  <c r="T56" i="5"/>
  <c r="T51" i="5"/>
  <c r="T46" i="5"/>
  <c r="T7" i="5"/>
  <c r="T35" i="5"/>
  <c r="K7" i="5"/>
  <c r="O7" i="5"/>
  <c r="P7" i="5"/>
  <c r="L7" i="5"/>
  <c r="T121" i="5" l="1"/>
  <c r="T105" i="5"/>
  <c r="T68" i="5"/>
  <c r="T115" i="5"/>
  <c r="T6" i="5" l="1"/>
  <c r="O11" i="5" l="1"/>
  <c r="P22" i="5"/>
  <c r="O22" i="5"/>
  <c r="L22" i="5"/>
  <c r="P21" i="5"/>
  <c r="K35" i="5"/>
  <c r="K33" i="5" s="1"/>
  <c r="K21" i="5" s="1"/>
  <c r="L35" i="5"/>
  <c r="L33" i="5" s="1"/>
  <c r="L25" i="5" s="1"/>
  <c r="P46" i="5"/>
  <c r="O46" i="5"/>
  <c r="L46" i="5"/>
  <c r="K46" i="5"/>
  <c r="O51" i="5"/>
  <c r="P51" i="5"/>
  <c r="L51" i="5"/>
  <c r="K51" i="5"/>
  <c r="P56" i="5"/>
  <c r="O56" i="5"/>
  <c r="K56" i="5"/>
  <c r="P59" i="5"/>
  <c r="O59" i="5"/>
  <c r="L59" i="5"/>
  <c r="K59" i="5"/>
  <c r="P65" i="5"/>
  <c r="O65" i="5"/>
  <c r="P68" i="5"/>
  <c r="O68" i="5"/>
  <c r="K68" i="5"/>
  <c r="L68" i="5"/>
  <c r="L65" i="5"/>
  <c r="P78" i="5"/>
  <c r="O78" i="5"/>
  <c r="P82" i="5"/>
  <c r="O82" i="5"/>
  <c r="L112" i="5"/>
  <c r="L109" i="5" s="1"/>
  <c r="L106" i="5" s="1"/>
  <c r="L105" i="5" s="1"/>
  <c r="L116" i="5"/>
  <c r="K116" i="5"/>
  <c r="P115" i="5"/>
  <c r="K118" i="5"/>
  <c r="K115" i="5" s="1"/>
  <c r="P121" i="5"/>
  <c r="O121" i="5"/>
  <c r="P18" i="5" l="1"/>
  <c r="P11" i="5" s="1"/>
  <c r="O105" i="5"/>
  <c r="P105" i="5"/>
  <c r="O115" i="5"/>
  <c r="L115" i="5"/>
  <c r="L56" i="5"/>
  <c r="L21" i="5" s="1"/>
  <c r="K112" i="5"/>
  <c r="K109" i="5" s="1"/>
  <c r="K105" i="5" s="1"/>
  <c r="P81" i="5" l="1"/>
  <c r="K18" i="5"/>
  <c r="O81" i="5" l="1"/>
  <c r="Q85" i="5" l="1"/>
  <c r="Q20" i="5"/>
  <c r="Q84" i="5"/>
  <c r="M84" i="5"/>
  <c r="M20" i="5"/>
  <c r="Q19" i="5"/>
  <c r="Q18" i="5" s="1"/>
  <c r="M19" i="5"/>
  <c r="M85" i="5"/>
  <c r="Q15" i="5"/>
  <c r="M15" i="5"/>
  <c r="Q114" i="5"/>
  <c r="Q108" i="5"/>
  <c r="Q88" i="5"/>
  <c r="Q86" i="5"/>
  <c r="Q79" i="5"/>
  <c r="Q76" i="5"/>
  <c r="Q70" i="5"/>
  <c r="Q66" i="5"/>
  <c r="Q62" i="5"/>
  <c r="Q58" i="5"/>
  <c r="Q40" i="5"/>
  <c r="Q39" i="5"/>
  <c r="Q23" i="5"/>
  <c r="Q14" i="5"/>
  <c r="Q117" i="5"/>
  <c r="Q113" i="5"/>
  <c r="Q107" i="5"/>
  <c r="Q87" i="5"/>
  <c r="Q83" i="5"/>
  <c r="Q73" i="5"/>
  <c r="Q63" i="5"/>
  <c r="Q52" i="5"/>
  <c r="Q50" i="5"/>
  <c r="Q43" i="5"/>
  <c r="Q36" i="5"/>
  <c r="Q77" i="5"/>
  <c r="Q71" i="5"/>
  <c r="Q67" i="5"/>
  <c r="Q60" i="5"/>
  <c r="Q55" i="5"/>
  <c r="Q38" i="5"/>
  <c r="Q53" i="5"/>
  <c r="Q49" i="5"/>
  <c r="Q119" i="5"/>
  <c r="Q80" i="5"/>
  <c r="Q57" i="5"/>
  <c r="Q54" i="5"/>
  <c r="Q37" i="5"/>
  <c r="Q24" i="5"/>
  <c r="Q111" i="5"/>
  <c r="Q69" i="5"/>
  <c r="Q110" i="5"/>
  <c r="Q64" i="5"/>
  <c r="Q42" i="5"/>
  <c r="Q10" i="5"/>
  <c r="Q74" i="5"/>
  <c r="Q61" i="5"/>
  <c r="Q13" i="5"/>
  <c r="Q8" i="5"/>
  <c r="Q47" i="5"/>
  <c r="M108" i="5"/>
  <c r="M24" i="5"/>
  <c r="M36" i="5"/>
  <c r="M43" i="5"/>
  <c r="M73" i="5"/>
  <c r="M119" i="5"/>
  <c r="M118" i="5" s="1"/>
  <c r="M113" i="5"/>
  <c r="M83" i="5"/>
  <c r="M87" i="5"/>
  <c r="M39" i="5"/>
  <c r="M40" i="5"/>
  <c r="M47" i="5"/>
  <c r="M70" i="5"/>
  <c r="M76" i="5"/>
  <c r="R76" i="5" s="1"/>
  <c r="M114" i="5"/>
  <c r="M88" i="5"/>
  <c r="M37" i="5"/>
  <c r="M49" i="5"/>
  <c r="M67" i="5"/>
  <c r="M79" i="5"/>
  <c r="R79" i="5" s="1"/>
  <c r="M14" i="5"/>
  <c r="M17" i="5"/>
  <c r="R17" i="5" s="1"/>
  <c r="M13" i="5"/>
  <c r="M86" i="5"/>
  <c r="M42" i="5"/>
  <c r="R42" i="5" s="1"/>
  <c r="M107" i="5"/>
  <c r="M38" i="5"/>
  <c r="R38" i="5" s="1"/>
  <c r="M50" i="5"/>
  <c r="M71" i="5"/>
  <c r="M77" i="5"/>
  <c r="M80" i="5"/>
  <c r="M117" i="5"/>
  <c r="M110" i="5"/>
  <c r="M111" i="5"/>
  <c r="M23" i="5"/>
  <c r="M69" i="5"/>
  <c r="R69" i="5" s="1"/>
  <c r="M8" i="5"/>
  <c r="R8" i="5" s="1"/>
  <c r="M10" i="5"/>
  <c r="M74" i="5"/>
  <c r="R74" i="5" s="1"/>
  <c r="R36" i="5" l="1"/>
  <c r="M35" i="5"/>
  <c r="M21" i="5" s="1"/>
  <c r="Q12" i="5"/>
  <c r="M12" i="5"/>
  <c r="N13" i="5" s="1"/>
  <c r="M18" i="5"/>
  <c r="N19" i="5" s="1"/>
  <c r="M82" i="5"/>
  <c r="M78" i="5"/>
  <c r="M68" i="5"/>
  <c r="Q121" i="5"/>
  <c r="Q68" i="5"/>
  <c r="Q46" i="5"/>
  <c r="Q109" i="5"/>
  <c r="Q106" i="5"/>
  <c r="Q22" i="5"/>
  <c r="Q51" i="5"/>
  <c r="Q116" i="5"/>
  <c r="Q82" i="5"/>
  <c r="Q118" i="5"/>
  <c r="Q7" i="5"/>
  <c r="Q65" i="5"/>
  <c r="Q78" i="5"/>
  <c r="Q56" i="5"/>
  <c r="Q59" i="5"/>
  <c r="Q112" i="5"/>
  <c r="Q35" i="5"/>
  <c r="M7" i="5"/>
  <c r="M116" i="5"/>
  <c r="M112" i="5"/>
  <c r="M109" i="5"/>
  <c r="M65" i="5"/>
  <c r="M106" i="5"/>
  <c r="M46" i="5"/>
  <c r="N48" i="5" s="1"/>
  <c r="M22" i="5"/>
  <c r="N20" i="5" l="1"/>
  <c r="N16" i="5"/>
  <c r="U16" i="5" s="1"/>
  <c r="M11" i="5"/>
  <c r="N18" i="5" s="1"/>
  <c r="U120" i="5"/>
  <c r="N111" i="5"/>
  <c r="U111" i="5" s="1"/>
  <c r="N114" i="5"/>
  <c r="U114" i="5" s="1"/>
  <c r="U143" i="5"/>
  <c r="R142" i="5"/>
  <c r="S143" i="5"/>
  <c r="U128" i="5"/>
  <c r="U124" i="5"/>
  <c r="U125" i="5"/>
  <c r="U48" i="5"/>
  <c r="S48" i="5"/>
  <c r="N44" i="5"/>
  <c r="N45" i="5"/>
  <c r="Q33" i="5"/>
  <c r="Q21" i="5" s="1"/>
  <c r="Q115" i="5"/>
  <c r="Q105" i="5"/>
  <c r="N108" i="5"/>
  <c r="U108" i="5" s="1"/>
  <c r="N41" i="5"/>
  <c r="N9" i="5"/>
  <c r="N15" i="5"/>
  <c r="R18" i="5"/>
  <c r="N17" i="5"/>
  <c r="U17" i="5" s="1"/>
  <c r="Q11" i="5"/>
  <c r="N84" i="5"/>
  <c r="U84" i="5" s="1"/>
  <c r="N85" i="5"/>
  <c r="M115" i="5"/>
  <c r="N83" i="5"/>
  <c r="N86" i="5"/>
  <c r="N88" i="5"/>
  <c r="N110" i="5"/>
  <c r="N119" i="5"/>
  <c r="N117" i="5"/>
  <c r="N37" i="5"/>
  <c r="N107" i="5"/>
  <c r="N14" i="5"/>
  <c r="U14" i="5" s="1"/>
  <c r="N113" i="5"/>
  <c r="N87" i="5"/>
  <c r="N38" i="5"/>
  <c r="N42" i="5"/>
  <c r="N36" i="5"/>
  <c r="N43" i="5"/>
  <c r="N39" i="5"/>
  <c r="N40" i="5"/>
  <c r="N23" i="5"/>
  <c r="N24" i="5"/>
  <c r="N10" i="5"/>
  <c r="N8" i="5"/>
  <c r="S128" i="5" l="1"/>
  <c r="R35" i="5"/>
  <c r="S8" i="5"/>
  <c r="S125" i="5"/>
  <c r="S16" i="5"/>
  <c r="R12" i="5"/>
  <c r="R11" i="5" s="1"/>
  <c r="R109" i="5"/>
  <c r="R135" i="5"/>
  <c r="V135" i="5" s="1"/>
  <c r="U136" i="5"/>
  <c r="S136" i="5"/>
  <c r="R112" i="5"/>
  <c r="U134" i="5"/>
  <c r="S134" i="5"/>
  <c r="R138" i="5"/>
  <c r="V138" i="5" s="1"/>
  <c r="U139" i="5"/>
  <c r="S139" i="5"/>
  <c r="U140" i="5"/>
  <c r="S140" i="5"/>
  <c r="U137" i="5"/>
  <c r="S137" i="5"/>
  <c r="U145" i="5"/>
  <c r="R144" i="5"/>
  <c r="V144" i="5" s="1"/>
  <c r="S145" i="5"/>
  <c r="U146" i="5"/>
  <c r="S146" i="5"/>
  <c r="V142" i="5"/>
  <c r="R132" i="5"/>
  <c r="V132" i="5" s="1"/>
  <c r="U133" i="5"/>
  <c r="S133" i="5"/>
  <c r="U130" i="5"/>
  <c r="S130" i="5"/>
  <c r="S124" i="5"/>
  <c r="U126" i="5"/>
  <c r="S126" i="5"/>
  <c r="U129" i="5"/>
  <c r="S129" i="5"/>
  <c r="N122" i="5"/>
  <c r="U127" i="5"/>
  <c r="S127" i="5"/>
  <c r="R122" i="5"/>
  <c r="V122" i="5" s="1"/>
  <c r="U123" i="5"/>
  <c r="S123" i="5"/>
  <c r="N89" i="5"/>
  <c r="U89" i="5" s="1"/>
  <c r="U91" i="5"/>
  <c r="S91" i="5"/>
  <c r="U90" i="5"/>
  <c r="R89" i="5"/>
  <c r="V89" i="5" s="1"/>
  <c r="S90" i="5"/>
  <c r="U94" i="5"/>
  <c r="S94" i="5"/>
  <c r="U92" i="5"/>
  <c r="S92" i="5"/>
  <c r="U95" i="5"/>
  <c r="S95" i="5"/>
  <c r="U93" i="5"/>
  <c r="S93" i="5"/>
  <c r="U45" i="5"/>
  <c r="S45" i="5"/>
  <c r="U44" i="5"/>
  <c r="S44" i="5"/>
  <c r="R28" i="5"/>
  <c r="U29" i="5"/>
  <c r="S29" i="5"/>
  <c r="U32" i="5"/>
  <c r="S32" i="5"/>
  <c r="U31" i="5"/>
  <c r="S31" i="5"/>
  <c r="U30" i="5"/>
  <c r="S30" i="5"/>
  <c r="R106" i="5"/>
  <c r="R105" i="5" s="1"/>
  <c r="R118" i="5"/>
  <c r="R116" i="5"/>
  <c r="R22" i="5"/>
  <c r="U15" i="5"/>
  <c r="U13" i="5"/>
  <c r="U41" i="5"/>
  <c r="N75" i="5"/>
  <c r="N72" i="5"/>
  <c r="U9" i="5"/>
  <c r="N71" i="5"/>
  <c r="U71" i="5" s="1"/>
  <c r="N74" i="5"/>
  <c r="N76" i="5"/>
  <c r="N73" i="5"/>
  <c r="U73" i="5" s="1"/>
  <c r="N77" i="5"/>
  <c r="U77" i="5" s="1"/>
  <c r="N69" i="5"/>
  <c r="N70" i="5"/>
  <c r="U70" i="5" s="1"/>
  <c r="U20" i="5"/>
  <c r="U19" i="5"/>
  <c r="U85" i="5"/>
  <c r="N118" i="5"/>
  <c r="U118" i="5" s="1"/>
  <c r="U119" i="5"/>
  <c r="U117" i="5"/>
  <c r="U113" i="5"/>
  <c r="U110" i="5"/>
  <c r="U107" i="5"/>
  <c r="U88" i="5"/>
  <c r="U83" i="5"/>
  <c r="U86" i="5"/>
  <c r="U87" i="5"/>
  <c r="U36" i="5"/>
  <c r="U40" i="5"/>
  <c r="U43" i="5"/>
  <c r="U42" i="5"/>
  <c r="U24" i="5"/>
  <c r="U23" i="5"/>
  <c r="U10" i="5"/>
  <c r="U8" i="5"/>
  <c r="R121" i="5"/>
  <c r="N109" i="5"/>
  <c r="N112" i="5"/>
  <c r="N106" i="5"/>
  <c r="N116" i="5"/>
  <c r="N12" i="5"/>
  <c r="R141" i="5" l="1"/>
  <c r="V141" i="5" s="1"/>
  <c r="U142" i="5"/>
  <c r="S142" i="5"/>
  <c r="U144" i="5"/>
  <c r="S144" i="5"/>
  <c r="U132" i="5"/>
  <c r="S132" i="5"/>
  <c r="U135" i="5"/>
  <c r="S135" i="5"/>
  <c r="S138" i="5"/>
  <c r="U138" i="5"/>
  <c r="U122" i="5"/>
  <c r="S122" i="5"/>
  <c r="U96" i="5"/>
  <c r="S96" i="5"/>
  <c r="S89" i="5"/>
  <c r="V28" i="5"/>
  <c r="R115" i="5"/>
  <c r="Q81" i="5"/>
  <c r="Q6" i="5" s="1"/>
  <c r="U75" i="5"/>
  <c r="U72" i="5"/>
  <c r="U69" i="5"/>
  <c r="U76" i="5"/>
  <c r="U74" i="5"/>
  <c r="U116" i="5"/>
  <c r="U112" i="5"/>
  <c r="U106" i="5"/>
  <c r="U109" i="5"/>
  <c r="U12" i="5"/>
  <c r="V120" i="5" l="1"/>
  <c r="S120" i="5"/>
  <c r="V121" i="5"/>
  <c r="N82" i="5"/>
  <c r="U82" i="5" s="1"/>
  <c r="N67" i="5"/>
  <c r="N66" i="5"/>
  <c r="R65" i="5" l="1"/>
  <c r="V119" i="5"/>
  <c r="S119" i="5"/>
  <c r="U67" i="5"/>
  <c r="U66" i="5"/>
  <c r="V118" i="5" l="1"/>
  <c r="S118" i="5"/>
  <c r="V117" i="5" l="1"/>
  <c r="S117" i="5"/>
  <c r="V116" i="5" l="1"/>
  <c r="S116" i="5"/>
  <c r="V115" i="5" l="1"/>
  <c r="M63" i="5" l="1"/>
  <c r="M62" i="5" l="1"/>
  <c r="M61" i="5" l="1"/>
  <c r="V114" i="5" l="1"/>
  <c r="S114" i="5"/>
  <c r="V113" i="5" l="1"/>
  <c r="S113" i="5"/>
  <c r="M60" i="5"/>
  <c r="S112" i="5" l="1"/>
  <c r="V112" i="5"/>
  <c r="M59" i="5"/>
  <c r="V111" i="5" l="1"/>
  <c r="S111" i="5"/>
  <c r="N64" i="5"/>
  <c r="N63" i="5"/>
  <c r="N62" i="5"/>
  <c r="N61" i="5"/>
  <c r="N60" i="5"/>
  <c r="R59" i="5" l="1"/>
  <c r="V110" i="5"/>
  <c r="S110" i="5"/>
  <c r="U62" i="5"/>
  <c r="U61" i="5"/>
  <c r="U64" i="5"/>
  <c r="U60" i="5"/>
  <c r="U63" i="5"/>
  <c r="S109" i="5" l="1"/>
  <c r="V109" i="5"/>
  <c r="V108" i="5" l="1"/>
  <c r="S108" i="5"/>
  <c r="V107" i="5" l="1"/>
  <c r="S107" i="5"/>
  <c r="V106" i="5" l="1"/>
  <c r="S106" i="5"/>
  <c r="V105" i="5" l="1"/>
  <c r="M58" i="5"/>
  <c r="M57" i="5" l="1"/>
  <c r="M56" i="5" s="1"/>
  <c r="N58" i="5" l="1"/>
  <c r="N57" i="5"/>
  <c r="R56" i="5" l="1"/>
  <c r="U58" i="5"/>
  <c r="U57" i="5"/>
  <c r="M55" i="5" l="1"/>
  <c r="M54" i="5" l="1"/>
  <c r="M53" i="5" l="1"/>
  <c r="M52" i="5" l="1"/>
  <c r="M51" i="5" l="1"/>
  <c r="N55" i="5" l="1"/>
  <c r="N54" i="5"/>
  <c r="N53" i="5"/>
  <c r="N52" i="5"/>
  <c r="R51" i="5" l="1"/>
  <c r="U54" i="5"/>
  <c r="U53" i="5"/>
  <c r="U55" i="5"/>
  <c r="U52" i="5"/>
  <c r="N50" i="5" l="1"/>
  <c r="N49" i="5"/>
  <c r="N47" i="5"/>
  <c r="R46" i="5" l="1"/>
  <c r="U47" i="5"/>
  <c r="U49" i="5"/>
  <c r="U50" i="5"/>
  <c r="N33" i="5" l="1"/>
  <c r="U33" i="5" s="1"/>
  <c r="N28" i="5"/>
  <c r="M6" i="5"/>
  <c r="N25" i="5"/>
  <c r="U25" i="5" s="1"/>
  <c r="N68" i="5"/>
  <c r="U18" i="5"/>
  <c r="N81" i="5" l="1"/>
  <c r="N11" i="5"/>
  <c r="N7" i="5"/>
  <c r="N141" i="5"/>
  <c r="N121" i="5"/>
  <c r="N105" i="5"/>
  <c r="N131" i="5"/>
  <c r="N115" i="5"/>
  <c r="N21" i="5"/>
  <c r="U28" i="5"/>
  <c r="S28" i="5"/>
  <c r="U68" i="5"/>
  <c r="R68" i="5"/>
  <c r="N35" i="5"/>
  <c r="N80" i="5"/>
  <c r="N22" i="5"/>
  <c r="N79" i="5"/>
  <c r="N78" i="5"/>
  <c r="U78" i="5" s="1"/>
  <c r="N65" i="5"/>
  <c r="N59" i="5"/>
  <c r="N56" i="5"/>
  <c r="N51" i="5"/>
  <c r="N46" i="5"/>
  <c r="N6" i="5" l="1"/>
  <c r="S141" i="5"/>
  <c r="U141" i="5"/>
  <c r="U131" i="5"/>
  <c r="S131" i="5"/>
  <c r="R78" i="5"/>
  <c r="R21" i="5" s="1"/>
  <c r="U79" i="5"/>
  <c r="U80" i="5"/>
  <c r="U46" i="5"/>
  <c r="U59" i="5"/>
  <c r="U56" i="5"/>
  <c r="U51" i="5"/>
  <c r="U65" i="5"/>
  <c r="U35" i="5"/>
  <c r="U22" i="5"/>
  <c r="U81" i="5"/>
  <c r="S33" i="5" l="1"/>
  <c r="V33" i="5"/>
  <c r="U21" i="5"/>
  <c r="S105" i="5"/>
  <c r="U105" i="5"/>
  <c r="U7" i="5"/>
  <c r="U115" i="5"/>
  <c r="S115" i="5"/>
  <c r="U121" i="5"/>
  <c r="S121" i="5"/>
  <c r="U11" i="5"/>
  <c r="S25" i="5" l="1"/>
  <c r="V25" i="5"/>
  <c r="U6" i="5"/>
  <c r="E6" i="5" s="1"/>
  <c r="V88" i="5" l="1"/>
  <c r="S88" i="5"/>
  <c r="V87" i="5" l="1"/>
  <c r="S87" i="5"/>
  <c r="V86" i="5" l="1"/>
  <c r="S86" i="5"/>
  <c r="V85" i="5" l="1"/>
  <c r="S85" i="5"/>
  <c r="V84" i="5" l="1"/>
  <c r="S84" i="5"/>
  <c r="V83" i="5" l="1"/>
  <c r="S83" i="5"/>
  <c r="V80" i="5" l="1"/>
  <c r="S80" i="5"/>
  <c r="V79" i="5" l="1"/>
  <c r="S79" i="5"/>
  <c r="V78" i="5" l="1"/>
  <c r="S78" i="5"/>
  <c r="V77" i="5" l="1"/>
  <c r="S77" i="5"/>
  <c r="V76" i="5" l="1"/>
  <c r="S76" i="5"/>
  <c r="V75" i="5" l="1"/>
  <c r="S75" i="5"/>
  <c r="V74" i="5" l="1"/>
  <c r="S74" i="5"/>
  <c r="V73" i="5" l="1"/>
  <c r="S73" i="5"/>
  <c r="V72" i="5" l="1"/>
  <c r="S72" i="5"/>
  <c r="V71" i="5" l="1"/>
  <c r="S71" i="5"/>
  <c r="V70" i="5" l="1"/>
  <c r="S70" i="5"/>
  <c r="V69" i="5" l="1"/>
  <c r="S69" i="5"/>
  <c r="V68" i="5" l="1"/>
  <c r="S68" i="5"/>
  <c r="V67" i="5" l="1"/>
  <c r="S67" i="5"/>
  <c r="V66" i="5" l="1"/>
  <c r="S66" i="5"/>
  <c r="V65" i="5" l="1"/>
  <c r="S65" i="5"/>
  <c r="V64" i="5" l="1"/>
  <c r="S64" i="5"/>
  <c r="V63" i="5" l="1"/>
  <c r="S63" i="5"/>
  <c r="V62" i="5" l="1"/>
  <c r="S62" i="5"/>
  <c r="V61" i="5" l="1"/>
  <c r="S61" i="5"/>
  <c r="V60" i="5" l="1"/>
  <c r="S60" i="5"/>
  <c r="V59" i="5" l="1"/>
  <c r="S59" i="5"/>
  <c r="V58" i="5" l="1"/>
  <c r="S58" i="5"/>
  <c r="V57" i="5" l="1"/>
  <c r="S57" i="5"/>
  <c r="V56" i="5" l="1"/>
  <c r="S56" i="5"/>
  <c r="V55" i="5" l="1"/>
  <c r="S55" i="5"/>
  <c r="V54" i="5" l="1"/>
  <c r="S54" i="5"/>
  <c r="V53" i="5" l="1"/>
  <c r="S53" i="5"/>
  <c r="V52" i="5" l="1"/>
  <c r="S52" i="5"/>
  <c r="V51" i="5" l="1"/>
  <c r="S51" i="5"/>
  <c r="V50" i="5" l="1"/>
  <c r="S50" i="5"/>
  <c r="V49" i="5" l="1"/>
  <c r="S49" i="5"/>
  <c r="V47" i="5" l="1"/>
  <c r="S47" i="5"/>
  <c r="V46" i="5" l="1"/>
  <c r="S46" i="5"/>
  <c r="V43" i="5" l="1"/>
  <c r="S43" i="5"/>
  <c r="V42" i="5" l="1"/>
  <c r="S42" i="5"/>
  <c r="V41" i="5" l="1"/>
  <c r="S41" i="5"/>
  <c r="V40" i="5" l="1"/>
  <c r="S40" i="5"/>
  <c r="V39" i="5" l="1"/>
  <c r="S39" i="5"/>
  <c r="U39" i="5"/>
  <c r="V38" i="5" l="1"/>
  <c r="S38" i="5"/>
  <c r="U38" i="5"/>
  <c r="V37" i="5" l="1"/>
  <c r="S37" i="5"/>
  <c r="U37" i="5"/>
  <c r="V36" i="5" l="1"/>
  <c r="S36" i="5"/>
  <c r="V35" i="5" l="1"/>
  <c r="S35" i="5"/>
  <c r="V24" i="5" l="1"/>
  <c r="S24" i="5"/>
  <c r="V23" i="5" l="1"/>
  <c r="S23" i="5"/>
  <c r="V22" i="5" l="1"/>
  <c r="S22" i="5"/>
  <c r="S21" i="5" l="1"/>
  <c r="V21" i="5"/>
  <c r="V20" i="5" l="1"/>
  <c r="S20" i="5"/>
  <c r="V19" i="5" l="1"/>
  <c r="S19" i="5"/>
  <c r="V18" i="5" l="1"/>
  <c r="S18" i="5"/>
  <c r="V17" i="5" l="1"/>
  <c r="S17" i="5"/>
  <c r="V15" i="5" l="1"/>
  <c r="S15" i="5"/>
  <c r="V14" i="5" l="1"/>
  <c r="S14" i="5"/>
  <c r="V13" i="5" l="1"/>
  <c r="S13" i="5"/>
  <c r="V12" i="5" l="1"/>
  <c r="S12" i="5"/>
  <c r="V11" i="5" l="1"/>
  <c r="S11" i="5"/>
  <c r="V10" i="5" l="1"/>
  <c r="S10" i="5"/>
  <c r="V9" i="5" l="1"/>
  <c r="S9" i="5"/>
  <c r="V8" i="5" l="1"/>
  <c r="R7" i="5"/>
  <c r="V7" i="5" l="1"/>
  <c r="S7" i="5"/>
  <c r="R6" i="5" l="1"/>
  <c r="R81" i="5"/>
  <c r="V81" i="5" s="1"/>
  <c r="S81" i="5" l="1"/>
  <c r="S6" i="5" s="1"/>
  <c r="S82" i="5"/>
  <c r="V82" i="5"/>
  <c r="R82" i="5"/>
</calcChain>
</file>

<file path=xl/comments1.xml><?xml version="1.0" encoding="utf-8"?>
<comments xmlns="http://schemas.openxmlformats.org/spreadsheetml/2006/main">
  <authors>
    <author>netive</author>
  </authors>
  <commentList>
    <comment ref="S6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가중치적용</t>
        </r>
      </text>
    </comment>
    <comment ref="U6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가중치적용</t>
        </r>
      </text>
    </comment>
  </commentList>
</comments>
</file>

<file path=xl/sharedStrings.xml><?xml version="1.0" encoding="utf-8"?>
<sst xmlns="http://schemas.openxmlformats.org/spreadsheetml/2006/main" count="778" uniqueCount="424">
  <si>
    <t>분석</t>
    <phoneticPr fontId="2" type="noConversion"/>
  </si>
  <si>
    <t xml:space="preserve">이행 </t>
    <phoneticPr fontId="2" type="noConversion"/>
  </si>
  <si>
    <t>계획</t>
    <phoneticPr fontId="2" type="noConversion"/>
  </si>
  <si>
    <t>상세업무</t>
    <phoneticPr fontId="2" type="noConversion"/>
  </si>
  <si>
    <t>업무파트</t>
    <phoneticPr fontId="2" type="noConversion"/>
  </si>
  <si>
    <t>진행상태</t>
    <phoneticPr fontId="2" type="noConversion"/>
  </si>
  <si>
    <t>담당자</t>
    <phoneticPr fontId="2" type="noConversion"/>
  </si>
  <si>
    <t>기획</t>
    <phoneticPr fontId="2" type="noConversion"/>
  </si>
  <si>
    <t>디자인</t>
    <phoneticPr fontId="2" type="noConversion"/>
  </si>
  <si>
    <t>퍼블</t>
    <phoneticPr fontId="2" type="noConversion"/>
  </si>
  <si>
    <t>개발</t>
    <phoneticPr fontId="2" type="noConversion"/>
  </si>
  <si>
    <t>산출물</t>
    <phoneticPr fontId="2" type="noConversion"/>
  </si>
  <si>
    <t>업무구분</t>
    <phoneticPr fontId="2" type="noConversion"/>
  </si>
  <si>
    <t xml:space="preserve">착수 </t>
    <phoneticPr fontId="2" type="noConversion"/>
  </si>
  <si>
    <t>설계</t>
    <phoneticPr fontId="2" type="noConversion"/>
  </si>
  <si>
    <t xml:space="preserve">테스트 </t>
    <phoneticPr fontId="2" type="noConversion"/>
  </si>
  <si>
    <t xml:space="preserve">요구사항 정의서 </t>
    <phoneticPr fontId="2" type="noConversion"/>
  </si>
  <si>
    <t>단위테스트</t>
    <phoneticPr fontId="2" type="noConversion"/>
  </si>
  <si>
    <t>2.1.1</t>
    <phoneticPr fontId="2" type="noConversion"/>
  </si>
  <si>
    <t>2.1.2</t>
  </si>
  <si>
    <t>2.1.3</t>
  </si>
  <si>
    <t>2.1.4</t>
  </si>
  <si>
    <t xml:space="preserve">DB설계 </t>
    <phoneticPr fontId="2" type="noConversion"/>
  </si>
  <si>
    <t>디자인 파일(PSD/JPG)</t>
    <phoneticPr fontId="2" type="noConversion"/>
  </si>
  <si>
    <t xml:space="preserve">디자인 가이드 </t>
    <phoneticPr fontId="2" type="noConversion"/>
  </si>
  <si>
    <t>3.3.3</t>
  </si>
  <si>
    <t>3.3.4</t>
  </si>
  <si>
    <t>3.3.5</t>
  </si>
  <si>
    <t>3.3.6</t>
  </si>
  <si>
    <t>3.3.7</t>
  </si>
  <si>
    <t>3.3.8</t>
  </si>
  <si>
    <t>작성일</t>
    <phoneticPr fontId="2" type="noConversion"/>
  </si>
  <si>
    <t>시작일</t>
    <phoneticPr fontId="2" type="noConversion"/>
  </si>
  <si>
    <t>종료일</t>
    <phoneticPr fontId="2" type="noConversion"/>
  </si>
  <si>
    <t>성능테스트</t>
    <phoneticPr fontId="2" type="noConversion"/>
  </si>
  <si>
    <t>IA(Information Architecture)설계</t>
    <phoneticPr fontId="2" type="noConversion"/>
  </si>
  <si>
    <t xml:space="preserve">단계 </t>
    <phoneticPr fontId="2" type="noConversion"/>
  </si>
  <si>
    <t>3.12.3</t>
  </si>
  <si>
    <t>디자인 가이드 작성</t>
    <phoneticPr fontId="2" type="noConversion"/>
  </si>
  <si>
    <t>디자인 가이드 검수(Inspection)</t>
    <phoneticPr fontId="2" type="noConversion"/>
  </si>
  <si>
    <t>개발소스</t>
    <phoneticPr fontId="2" type="noConversion"/>
  </si>
  <si>
    <t>프로그램 목록 작성</t>
    <phoneticPr fontId="2" type="noConversion"/>
  </si>
  <si>
    <t>ERD 작성</t>
    <phoneticPr fontId="2" type="noConversion"/>
  </si>
  <si>
    <t xml:space="preserve">인테페이스 설계 </t>
    <phoneticPr fontId="2" type="noConversion"/>
  </si>
  <si>
    <t xml:space="preserve">프로그램 개발 가이드 </t>
  </si>
  <si>
    <t xml:space="preserve">프로그램 개발 가이드 작성 </t>
    <phoneticPr fontId="2" type="noConversion"/>
  </si>
  <si>
    <t>퍼블리싱 가이드 작성</t>
    <phoneticPr fontId="2" type="noConversion"/>
  </si>
  <si>
    <t>퍼블리싱 가이드 검수(Inspection)</t>
    <phoneticPr fontId="2" type="noConversion"/>
  </si>
  <si>
    <t>3.16.3</t>
  </si>
  <si>
    <t>프로그램 목록 설계</t>
    <phoneticPr fontId="2" type="noConversion"/>
  </si>
  <si>
    <t>DB설계-ERD</t>
    <phoneticPr fontId="2" type="noConversion"/>
  </si>
  <si>
    <t xml:space="preserve">배치프로그램 목록 </t>
    <phoneticPr fontId="2" type="noConversion"/>
  </si>
  <si>
    <t>프로그램 개발 가이드 작성 검수 및 승인(완료)</t>
    <phoneticPr fontId="2" type="noConversion"/>
  </si>
  <si>
    <t xml:space="preserve">배치프로그램 목록표 작성 </t>
    <phoneticPr fontId="2" type="noConversion"/>
  </si>
  <si>
    <t>퍼블리싱 소스</t>
    <phoneticPr fontId="2" type="noConversion"/>
  </si>
  <si>
    <t xml:space="preserve">승인(확인)서, 회의록 </t>
    <phoneticPr fontId="2" type="noConversion"/>
  </si>
  <si>
    <t>화면정의서</t>
    <phoneticPr fontId="2" type="noConversion"/>
  </si>
  <si>
    <t xml:space="preserve">프로그램 목록 </t>
    <phoneticPr fontId="2" type="noConversion"/>
  </si>
  <si>
    <t xml:space="preserve">ERD </t>
    <phoneticPr fontId="2" type="noConversion"/>
  </si>
  <si>
    <t>인터페이스 설계서</t>
    <phoneticPr fontId="2" type="noConversion"/>
  </si>
  <si>
    <t>배치프로그램 목록표</t>
    <phoneticPr fontId="2" type="noConversion"/>
  </si>
  <si>
    <t>3.12.5</t>
  </si>
  <si>
    <t>3.12.7</t>
  </si>
  <si>
    <t>3.12.8</t>
  </si>
  <si>
    <t xml:space="preserve">구현 </t>
    <phoneticPr fontId="2" type="noConversion"/>
  </si>
  <si>
    <t xml:space="preserve">단위테스트 결과서 </t>
    <phoneticPr fontId="2" type="noConversion"/>
  </si>
  <si>
    <t>프로그램 개발(ADMIN)</t>
    <phoneticPr fontId="2" type="noConversion"/>
  </si>
  <si>
    <t>프로그램 개발 가이드</t>
    <phoneticPr fontId="2" type="noConversion"/>
  </si>
  <si>
    <t>프로그램 개발</t>
    <phoneticPr fontId="2" type="noConversion"/>
  </si>
  <si>
    <t>4.1.3</t>
  </si>
  <si>
    <t>4.1.4</t>
  </si>
  <si>
    <t>4.1.6</t>
  </si>
  <si>
    <t>4.2.3</t>
  </si>
  <si>
    <t>4.2.4</t>
  </si>
  <si>
    <t>4.2.5</t>
  </si>
  <si>
    <t>4.2.6</t>
  </si>
  <si>
    <t xml:space="preserve">통합테스트 설계서 작성 </t>
    <phoneticPr fontId="2" type="noConversion"/>
  </si>
  <si>
    <t xml:space="preserve">통합테스트 수행 </t>
    <phoneticPr fontId="2" type="noConversion"/>
  </si>
  <si>
    <t xml:space="preserve">통합테스트 설계서 </t>
    <phoneticPr fontId="2" type="noConversion"/>
  </si>
  <si>
    <t xml:space="preserve">성능테스트 설계서 </t>
    <phoneticPr fontId="2" type="noConversion"/>
  </si>
  <si>
    <t>성능테스트 수행</t>
    <phoneticPr fontId="2" type="noConversion"/>
  </si>
  <si>
    <t xml:space="preserve">개발 </t>
    <phoneticPr fontId="2" type="noConversion"/>
  </si>
  <si>
    <t xml:space="preserve">성능테스트 설계서 작성 </t>
    <phoneticPr fontId="2" type="noConversion"/>
  </si>
  <si>
    <t xml:space="preserve">시스템테스트 설계서 </t>
    <phoneticPr fontId="2" type="noConversion"/>
  </si>
  <si>
    <t>시스템테스트 수행</t>
    <phoneticPr fontId="2" type="noConversion"/>
  </si>
  <si>
    <t>성능테스트 설계서</t>
  </si>
  <si>
    <t xml:space="preserve">성능테스트 결과서 </t>
    <phoneticPr fontId="2" type="noConversion"/>
  </si>
  <si>
    <t xml:space="preserve">시스템 테스트 </t>
    <phoneticPr fontId="2" type="noConversion"/>
  </si>
  <si>
    <t xml:space="preserve">시스템테스트 설계서 작성 </t>
    <phoneticPr fontId="2" type="noConversion"/>
  </si>
  <si>
    <t xml:space="preserve">시스템테스트 결과서 </t>
    <phoneticPr fontId="2" type="noConversion"/>
  </si>
  <si>
    <t xml:space="preserve">시스템 이행 </t>
    <phoneticPr fontId="2" type="noConversion"/>
  </si>
  <si>
    <t xml:space="preserve">테이터 이관 </t>
    <phoneticPr fontId="2" type="noConversion"/>
  </si>
  <si>
    <t xml:space="preserve">데이터 이관 결과서 </t>
    <phoneticPr fontId="2" type="noConversion"/>
  </si>
  <si>
    <t>1.1.5</t>
  </si>
  <si>
    <t>WBS</t>
    <phoneticPr fontId="2" type="noConversion"/>
  </si>
  <si>
    <t>ooo 구축 프로젝트</t>
    <phoneticPr fontId="2" type="noConversion"/>
  </si>
  <si>
    <t>2019.00.00</t>
    <phoneticPr fontId="2" type="noConversion"/>
  </si>
  <si>
    <t xml:space="preserve">문서 관리번호 </t>
    <phoneticPr fontId="2" type="noConversion"/>
  </si>
  <si>
    <t>배포번호</t>
    <phoneticPr fontId="2" type="noConversion"/>
  </si>
  <si>
    <t>작성자</t>
    <phoneticPr fontId="2" type="noConversion"/>
  </si>
  <si>
    <t>보안</t>
    <phoneticPr fontId="2" type="noConversion"/>
  </si>
  <si>
    <t>관리 본 문서</t>
    <phoneticPr fontId="2" type="noConversion"/>
  </si>
  <si>
    <t>대외비</t>
    <phoneticPr fontId="2" type="noConversion"/>
  </si>
  <si>
    <t>Controlled copy</t>
    <phoneticPr fontId="2" type="noConversion"/>
  </si>
  <si>
    <t>실행</t>
    <phoneticPr fontId="2" type="noConversion"/>
  </si>
  <si>
    <t>프로젝트기간</t>
  </si>
  <si>
    <t>NO</t>
    <phoneticPr fontId="2" type="noConversion"/>
  </si>
  <si>
    <t>완료</t>
    <phoneticPr fontId="2" type="noConversion"/>
  </si>
  <si>
    <t>진행상태</t>
    <phoneticPr fontId="2" type="noConversion"/>
  </si>
  <si>
    <t>지연</t>
    <phoneticPr fontId="2" type="noConversion"/>
  </si>
  <si>
    <t>진행중</t>
    <phoneticPr fontId="2" type="noConversion"/>
  </si>
  <si>
    <t>가중치</t>
    <phoneticPr fontId="2" type="noConversion"/>
  </si>
  <si>
    <t>실적</t>
    <phoneticPr fontId="2" type="noConversion"/>
  </si>
  <si>
    <t>개정번호</t>
    <phoneticPr fontId="68" type="noConversion"/>
  </si>
  <si>
    <t>제.개정일자</t>
    <phoneticPr fontId="68" type="noConversion"/>
  </si>
  <si>
    <t>개정 사유</t>
    <phoneticPr fontId="68" type="noConversion"/>
  </si>
  <si>
    <t>개정 내용</t>
    <phoneticPr fontId="68" type="noConversion"/>
  </si>
  <si>
    <t>작성자</t>
    <phoneticPr fontId="68" type="noConversion"/>
  </si>
  <si>
    <t>승인자</t>
    <phoneticPr fontId="68" type="noConversion"/>
  </si>
  <si>
    <t>0.1</t>
    <phoneticPr fontId="68" type="noConversion"/>
  </si>
  <si>
    <t>최초 작성</t>
    <phoneticPr fontId="68" type="noConversion"/>
  </si>
  <si>
    <t>초안작성</t>
    <phoneticPr fontId="68" type="noConversion"/>
  </si>
  <si>
    <t>제.개정 이력</t>
  </si>
  <si>
    <t>기획</t>
    <phoneticPr fontId="2" type="noConversion"/>
  </si>
  <si>
    <t>착수</t>
    <phoneticPr fontId="2" type="noConversion"/>
  </si>
  <si>
    <t>프로젝트 진척율</t>
    <phoneticPr fontId="2" type="noConversion"/>
  </si>
  <si>
    <t>계획</t>
    <phoneticPr fontId="2" type="noConversion"/>
  </si>
  <si>
    <t>소요일</t>
    <phoneticPr fontId="2" type="noConversion"/>
  </si>
  <si>
    <t>PM</t>
    <phoneticPr fontId="2" type="noConversion"/>
  </si>
  <si>
    <t>디자인 시안</t>
    <phoneticPr fontId="2" type="noConversion"/>
  </si>
  <si>
    <t>IA설계 검수(Inspection)</t>
    <phoneticPr fontId="2" type="noConversion"/>
  </si>
  <si>
    <t>상세 화면정의서 검수(Inspection)</t>
    <phoneticPr fontId="2" type="noConversion"/>
  </si>
  <si>
    <t>디자인 가이드 작성</t>
    <phoneticPr fontId="2" type="noConversion"/>
  </si>
  <si>
    <t>퍼블리싱 가이드</t>
    <phoneticPr fontId="2" type="noConversion"/>
  </si>
  <si>
    <t>2.2.4</t>
  </si>
  <si>
    <t xml:space="preserve">디자인 시안 제작 </t>
    <phoneticPr fontId="2" type="noConversion"/>
  </si>
  <si>
    <t>3.8.5</t>
  </si>
  <si>
    <t>3.8.7</t>
  </si>
  <si>
    <t>3.8.8</t>
  </si>
  <si>
    <t>전체</t>
    <phoneticPr fontId="2" type="noConversion"/>
  </si>
  <si>
    <t>PSD/JPG</t>
    <phoneticPr fontId="2" type="noConversion"/>
  </si>
  <si>
    <t xml:space="preserve">요구사항 정의서 </t>
    <phoneticPr fontId="2" type="noConversion"/>
  </si>
  <si>
    <t xml:space="preserve">메뉴 분류(IA) 체계 및 화면ID 설계  </t>
    <phoneticPr fontId="2" type="noConversion"/>
  </si>
  <si>
    <t>3.1.1</t>
    <phoneticPr fontId="2" type="noConversion"/>
  </si>
  <si>
    <t>3.1.2</t>
    <phoneticPr fontId="2" type="noConversion"/>
  </si>
  <si>
    <t>디자인시안</t>
    <phoneticPr fontId="2" type="noConversion"/>
  </si>
  <si>
    <t>2.2.1</t>
    <phoneticPr fontId="2" type="noConversion"/>
  </si>
  <si>
    <t>2.2.2</t>
    <phoneticPr fontId="2" type="noConversion"/>
  </si>
  <si>
    <t xml:space="preserve">요구사항 정의 </t>
    <phoneticPr fontId="2" type="noConversion"/>
  </si>
  <si>
    <t xml:space="preserve">요구사항 정의  </t>
    <phoneticPr fontId="2" type="noConversion"/>
  </si>
  <si>
    <t>개발환경 분석</t>
    <phoneticPr fontId="2" type="noConversion"/>
  </si>
  <si>
    <t xml:space="preserve">개발환경분석 </t>
    <phoneticPr fontId="2" type="noConversion"/>
  </si>
  <si>
    <t>2.2.1</t>
    <phoneticPr fontId="2" type="noConversion"/>
  </si>
  <si>
    <t>Legacy 분석(내부/외부 연동 시스템)</t>
    <phoneticPr fontId="2" type="noConversion"/>
  </si>
  <si>
    <t xml:space="preserve"> Interface 목록</t>
    <phoneticPr fontId="2" type="noConversion"/>
  </si>
  <si>
    <t>디자인 가이드(Mobile)</t>
    <phoneticPr fontId="2" type="noConversion"/>
  </si>
  <si>
    <t xml:space="preserve">인터페이스 설계서 및 대내외 연계, 방화벽 </t>
    <phoneticPr fontId="2" type="noConversion"/>
  </si>
  <si>
    <t>구현</t>
    <phoneticPr fontId="2" type="noConversion"/>
  </si>
  <si>
    <t xml:space="preserve">프로젝트 착수 및 업무환경 구축 </t>
    <phoneticPr fontId="2" type="noConversion"/>
  </si>
  <si>
    <t xml:space="preserve">인력 투입 및 업무환경 구축 </t>
    <phoneticPr fontId="2" type="noConversion"/>
  </si>
  <si>
    <t>Kick Off</t>
    <phoneticPr fontId="2" type="noConversion"/>
  </si>
  <si>
    <t>전체</t>
    <phoneticPr fontId="2" type="noConversion"/>
  </si>
  <si>
    <t>2.2.5</t>
  </si>
  <si>
    <t xml:space="preserve">디자인 시안 </t>
    <phoneticPr fontId="2" type="noConversion"/>
  </si>
  <si>
    <t>3.18.3</t>
  </si>
  <si>
    <t>3.18.4</t>
  </si>
  <si>
    <t>3.6.1</t>
    <phoneticPr fontId="2" type="noConversion"/>
  </si>
  <si>
    <t>3.6.2</t>
    <phoneticPr fontId="2" type="noConversion"/>
  </si>
  <si>
    <t>3.6.3</t>
  </si>
  <si>
    <t>3.10.1</t>
    <phoneticPr fontId="2" type="noConversion"/>
  </si>
  <si>
    <t>3.10.4</t>
    <phoneticPr fontId="2" type="noConversion"/>
  </si>
  <si>
    <t>3.14.1</t>
    <phoneticPr fontId="2" type="noConversion"/>
  </si>
  <si>
    <t>3.14.3</t>
  </si>
  <si>
    <t>3.16.1</t>
    <phoneticPr fontId="2" type="noConversion"/>
  </si>
  <si>
    <t>3.16.5</t>
  </si>
  <si>
    <t>3.16.7</t>
  </si>
  <si>
    <t>3.16.8</t>
  </si>
  <si>
    <t>3.16.9</t>
  </si>
  <si>
    <t>3.16.10</t>
  </si>
  <si>
    <t>3.16.12</t>
  </si>
  <si>
    <t>3.16.14</t>
  </si>
  <si>
    <t>프로그램 명세서</t>
  </si>
  <si>
    <t xml:space="preserve">프로그램 명세서(JAVA,JSP 별 명세서 기술)  </t>
    <phoneticPr fontId="2" type="noConversion"/>
  </si>
  <si>
    <t>프로그램 명세서(기능명세서)</t>
    <phoneticPr fontId="2" type="noConversion"/>
  </si>
  <si>
    <t xml:space="preserve">테이블 목록 작성 </t>
    <phoneticPr fontId="2" type="noConversion"/>
  </si>
  <si>
    <t>테이블 목록</t>
    <phoneticPr fontId="2" type="noConversion"/>
  </si>
  <si>
    <t xml:space="preserve">테이블 명세서 작성 </t>
    <phoneticPr fontId="2" type="noConversion"/>
  </si>
  <si>
    <t>테이블 명세서</t>
  </si>
  <si>
    <t>엔터티 목록</t>
    <phoneticPr fontId="2" type="noConversion"/>
  </si>
  <si>
    <t>엔터티 명세서 작성</t>
    <phoneticPr fontId="2" type="noConversion"/>
  </si>
  <si>
    <t>엔터티 명세서</t>
    <phoneticPr fontId="2" type="noConversion"/>
  </si>
  <si>
    <t>3.3.1</t>
    <phoneticPr fontId="2" type="noConversion"/>
  </si>
  <si>
    <t>3.3.2</t>
  </si>
  <si>
    <t>3.8.1</t>
    <phoneticPr fontId="2" type="noConversion"/>
  </si>
  <si>
    <t>3.12.1</t>
    <phoneticPr fontId="2" type="noConversion"/>
  </si>
  <si>
    <t>기획,개발</t>
    <phoneticPr fontId="2" type="noConversion"/>
  </si>
  <si>
    <t>4.2.2</t>
  </si>
  <si>
    <t>1.1.1</t>
    <phoneticPr fontId="2" type="noConversion"/>
  </si>
  <si>
    <t xml:space="preserve">통합테스트 </t>
    <phoneticPr fontId="2" type="noConversion"/>
  </si>
  <si>
    <t xml:space="preserve">시스템 이행 결과서 </t>
    <phoneticPr fontId="2" type="noConversion"/>
  </si>
  <si>
    <t>시스템 이행</t>
    <phoneticPr fontId="2" type="noConversion"/>
  </si>
  <si>
    <t>개정이력</t>
    <phoneticPr fontId="2" type="noConversion"/>
  </si>
  <si>
    <t xml:space="preserve">개발 </t>
    <phoneticPr fontId="2" type="noConversion"/>
  </si>
  <si>
    <t>진행중</t>
    <phoneticPr fontId="2" type="noConversion"/>
  </si>
  <si>
    <t>금</t>
    <phoneticPr fontId="2" type="noConversion"/>
  </si>
  <si>
    <t>월</t>
    <phoneticPr fontId="2" type="noConversion"/>
  </si>
  <si>
    <t xml:space="preserve">
 </t>
    <phoneticPr fontId="2" type="noConversion"/>
  </si>
  <si>
    <t>고객사</t>
  </si>
  <si>
    <t xml:space="preserve">시작일 </t>
    <phoneticPr fontId="2" type="noConversion"/>
  </si>
  <si>
    <t xml:space="preserve">종료일 </t>
    <phoneticPr fontId="2" type="noConversion"/>
  </si>
  <si>
    <t>기간(DAYS)</t>
    <phoneticPr fontId="2" type="noConversion"/>
  </si>
  <si>
    <t>기간(MONTHS)</t>
    <phoneticPr fontId="2" type="noConversion"/>
  </si>
  <si>
    <t>에브리북클럽 프로젝트 구축 진척율 현황표</t>
    <phoneticPr fontId="2" type="noConversion"/>
  </si>
  <si>
    <t>Version: 0.1   Last Updated: 2023.09.18</t>
    <phoneticPr fontId="2" type="noConversion"/>
  </si>
  <si>
    <t>2023.09.18</t>
    <phoneticPr fontId="68" type="noConversion"/>
  </si>
  <si>
    <t>최용수</t>
    <phoneticPr fontId="2" type="noConversion"/>
  </si>
  <si>
    <t>최용수</t>
    <phoneticPr fontId="2" type="noConversion"/>
  </si>
  <si>
    <t>최용수</t>
    <phoneticPr fontId="2" type="noConversion"/>
  </si>
  <si>
    <t>2023.09.18</t>
    <phoneticPr fontId="2" type="noConversion"/>
  </si>
  <si>
    <t>BCL_A01</t>
    <phoneticPr fontId="2" type="noConversion"/>
  </si>
  <si>
    <t>마일스톤 작성</t>
    <phoneticPr fontId="2" type="noConversion"/>
  </si>
  <si>
    <t>마일스톤</t>
    <phoneticPr fontId="2" type="noConversion"/>
  </si>
  <si>
    <t>WBS Ver 0.1 (2023-09-18)</t>
    <phoneticPr fontId="2" type="noConversion"/>
  </si>
  <si>
    <t>착수미팅(Kick-Off)</t>
    <phoneticPr fontId="2" type="noConversion"/>
  </si>
  <si>
    <t>2023년 공휴일</t>
    <phoneticPr fontId="2" type="noConversion"/>
  </si>
  <si>
    <t>목</t>
    <phoneticPr fontId="2" type="noConversion"/>
  </si>
  <si>
    <t>월</t>
    <phoneticPr fontId="2" type="noConversion"/>
  </si>
  <si>
    <t>화</t>
    <phoneticPr fontId="2" type="noConversion"/>
  </si>
  <si>
    <t>월</t>
    <phoneticPr fontId="2" type="noConversion"/>
  </si>
  <si>
    <t>오창교</t>
    <phoneticPr fontId="2" type="noConversion"/>
  </si>
  <si>
    <t>최용수</t>
    <phoneticPr fontId="2" type="noConversion"/>
  </si>
  <si>
    <t>최윤정</t>
    <phoneticPr fontId="2" type="noConversion"/>
  </si>
  <si>
    <t>어드민 요구사항 정의</t>
    <phoneticPr fontId="2" type="noConversion"/>
  </si>
  <si>
    <t xml:space="preserve">웹 서비스 요구사항 정의 </t>
    <phoneticPr fontId="2" type="noConversion"/>
  </si>
  <si>
    <t>앱 서비스 요구사항 정의</t>
    <phoneticPr fontId="2" type="noConversion"/>
  </si>
  <si>
    <t>1.1.2</t>
    <phoneticPr fontId="2" type="noConversion"/>
  </si>
  <si>
    <t>최민호</t>
    <phoneticPr fontId="2" type="noConversion"/>
  </si>
  <si>
    <t>고객사</t>
    <phoneticPr fontId="2" type="noConversion"/>
  </si>
  <si>
    <t>고객사</t>
    <phoneticPr fontId="2" type="noConversion"/>
  </si>
  <si>
    <t>2.2.2</t>
    <phoneticPr fontId="2" type="noConversion"/>
  </si>
  <si>
    <t>디자인시안 와이어 프레임(화면정의서) 작성</t>
    <phoneticPr fontId="2" type="noConversion"/>
  </si>
  <si>
    <t>디자인 시안 와이어프레임</t>
    <phoneticPr fontId="2" type="noConversion"/>
  </si>
  <si>
    <t xml:space="preserve">서비스 정책서 </t>
    <phoneticPr fontId="2" type="noConversion"/>
  </si>
  <si>
    <t>설계</t>
    <phoneticPr fontId="2" type="noConversion"/>
  </si>
  <si>
    <t>디자인 시안 검수(Inspection)</t>
    <phoneticPr fontId="2" type="noConversion"/>
  </si>
  <si>
    <t>서비스 정책서 검수(Inspection)</t>
    <phoneticPr fontId="2" type="noConversion"/>
  </si>
  <si>
    <t>3.2.1</t>
    <phoneticPr fontId="2" type="noConversion"/>
  </si>
  <si>
    <t>3.2.2</t>
    <phoneticPr fontId="2" type="noConversion"/>
  </si>
  <si>
    <t>서비스 정책서 작성</t>
    <phoneticPr fontId="2" type="noConversion"/>
  </si>
  <si>
    <t xml:space="preserve">서비스 정책서 </t>
    <phoneticPr fontId="2" type="noConversion"/>
  </si>
  <si>
    <t>서비스 정책서</t>
    <phoneticPr fontId="2" type="noConversion"/>
  </si>
  <si>
    <t>최용수</t>
    <phoneticPr fontId="2" type="noConversion"/>
  </si>
  <si>
    <t>고객사</t>
    <phoneticPr fontId="2" type="noConversion"/>
  </si>
  <si>
    <t>최윤정</t>
    <phoneticPr fontId="2" type="noConversion"/>
  </si>
  <si>
    <t>화면 목록</t>
    <phoneticPr fontId="2" type="noConversion"/>
  </si>
  <si>
    <t>3.3.1</t>
    <phoneticPr fontId="2" type="noConversion"/>
  </si>
  <si>
    <t>화면 목록 작성</t>
    <phoneticPr fontId="2" type="noConversion"/>
  </si>
  <si>
    <t>화면 목록</t>
    <phoneticPr fontId="2" type="noConversion"/>
  </si>
  <si>
    <t>일정계획 수립</t>
    <phoneticPr fontId="2" type="noConversion"/>
  </si>
  <si>
    <t>메뉴구조도</t>
    <phoneticPr fontId="2" type="noConversion"/>
  </si>
  <si>
    <t>요구사항 및 기능 정의</t>
    <phoneticPr fontId="2" type="noConversion"/>
  </si>
  <si>
    <t>기능 정의</t>
    <phoneticPr fontId="2" type="noConversion"/>
  </si>
  <si>
    <t>쇼핑몰 기능 정의</t>
    <phoneticPr fontId="2" type="noConversion"/>
  </si>
  <si>
    <t>2.1.4</t>
    <phoneticPr fontId="2" type="noConversion"/>
  </si>
  <si>
    <t>기능정의서</t>
    <phoneticPr fontId="2" type="noConversion"/>
  </si>
  <si>
    <t>요구사항, 기능 정의 검수(Inspection)</t>
    <phoneticPr fontId="2" type="noConversion"/>
  </si>
  <si>
    <t xml:space="preserve">요구사항 정의서, 기능정의서 </t>
    <phoneticPr fontId="2" type="noConversion"/>
  </si>
  <si>
    <t>응용총괄</t>
    <phoneticPr fontId="2" type="noConversion"/>
  </si>
  <si>
    <t>PM</t>
    <phoneticPr fontId="2" type="noConversion"/>
  </si>
  <si>
    <t>PM</t>
    <phoneticPr fontId="2" type="noConversion"/>
  </si>
  <si>
    <t>최용수</t>
    <phoneticPr fontId="2" type="noConversion"/>
  </si>
  <si>
    <t>PM</t>
    <phoneticPr fontId="2" type="noConversion"/>
  </si>
  <si>
    <t>PM</t>
    <phoneticPr fontId="2" type="noConversion"/>
  </si>
  <si>
    <t>IA설계</t>
    <phoneticPr fontId="2" type="noConversion"/>
  </si>
  <si>
    <t>화면 설계</t>
    <phoneticPr fontId="2" type="noConversion"/>
  </si>
  <si>
    <t>화면설계서 검수(Inspection)</t>
    <phoneticPr fontId="2" type="noConversion"/>
  </si>
  <si>
    <t>화면설계서 작성(Admin_회원/권한관리)</t>
    <phoneticPr fontId="2" type="noConversion"/>
  </si>
  <si>
    <t>화면설계서 작성(Admin_LMS,CMS)</t>
    <phoneticPr fontId="2" type="noConversion"/>
  </si>
  <si>
    <t>화면설계서 작성(APP)</t>
    <phoneticPr fontId="2" type="noConversion"/>
  </si>
  <si>
    <t>화면설계서 작성(Web_Front,Admin)</t>
    <phoneticPr fontId="2" type="noConversion"/>
  </si>
  <si>
    <t xml:space="preserve">App Admin LMS, CMS </t>
    <phoneticPr fontId="2" type="noConversion"/>
  </si>
  <si>
    <t xml:space="preserve">App Front </t>
    <phoneticPr fontId="2" type="noConversion"/>
  </si>
  <si>
    <t>화면설계서 작성(도서몰_Front)</t>
    <phoneticPr fontId="2" type="noConversion"/>
  </si>
  <si>
    <t xml:space="preserve">도서몰 Front </t>
    <phoneticPr fontId="2" type="noConversion"/>
  </si>
  <si>
    <t xml:space="preserve">Web Front </t>
    <phoneticPr fontId="2" type="noConversion"/>
  </si>
  <si>
    <t xml:space="preserve">관리자 계정, 회원 관리, 메뉴 관리, 메뉴권한관리 </t>
    <phoneticPr fontId="2" type="noConversion"/>
  </si>
  <si>
    <t>화면설계서 검수 및 승인</t>
    <phoneticPr fontId="2" type="noConversion"/>
  </si>
  <si>
    <t>화면설계서 검수 및 승인</t>
    <phoneticPr fontId="2" type="noConversion"/>
  </si>
  <si>
    <t>화면설계서 검수 및 승인</t>
    <phoneticPr fontId="2" type="noConversion"/>
  </si>
  <si>
    <t>화면설계서 검수 및 승인</t>
    <phoneticPr fontId="2" type="noConversion"/>
  </si>
  <si>
    <t>화면설계서 검수 및 승인</t>
    <phoneticPr fontId="2" type="noConversion"/>
  </si>
  <si>
    <t>디자인 시안 검수 및 승인</t>
    <phoneticPr fontId="2" type="noConversion"/>
  </si>
  <si>
    <t>서비스 정책서 검수 및 승인</t>
    <phoneticPr fontId="2" type="noConversion"/>
  </si>
  <si>
    <t>IA설계(ADMIN) 검수 및 승인</t>
    <phoneticPr fontId="2" type="noConversion"/>
  </si>
  <si>
    <t>요구사항(Mobile, ADMIN) 검수 및 승인</t>
    <phoneticPr fontId="2" type="noConversion"/>
  </si>
  <si>
    <t>상세 화면 디자인 제작(Web)</t>
    <phoneticPr fontId="2" type="noConversion"/>
  </si>
  <si>
    <t>상세 화면 디자인 제작(App)</t>
    <phoneticPr fontId="2" type="noConversion"/>
  </si>
  <si>
    <t>Web Front</t>
    <phoneticPr fontId="2" type="noConversion"/>
  </si>
  <si>
    <t xml:space="preserve">App Front </t>
    <phoneticPr fontId="2" type="noConversion"/>
  </si>
  <si>
    <t>상세 화면 디자인 제작(도서몰)</t>
    <phoneticPr fontId="2" type="noConversion"/>
  </si>
  <si>
    <t xml:space="preserve">도서몰 Front </t>
    <phoneticPr fontId="2" type="noConversion"/>
  </si>
  <si>
    <t>상세 화면 디자인 제작 검수(Inspection)</t>
    <phoneticPr fontId="2" type="noConversion"/>
  </si>
  <si>
    <t>상세 화면 디자인 제작 검수 및 승인</t>
    <phoneticPr fontId="2" type="noConversion"/>
  </si>
  <si>
    <t>상세 화면 디자인 제작</t>
    <phoneticPr fontId="2" type="noConversion"/>
  </si>
  <si>
    <t>상세 화면 퍼블리싱</t>
    <phoneticPr fontId="2" type="noConversion"/>
  </si>
  <si>
    <t>상세 화면 퍼블리싱 (Admin)</t>
    <phoneticPr fontId="2" type="noConversion"/>
  </si>
  <si>
    <t>상세 화면 퍼블리싱 (도서몰)</t>
    <phoneticPr fontId="2" type="noConversion"/>
  </si>
  <si>
    <t>퍼블리싱 가이드</t>
    <phoneticPr fontId="2" type="noConversion"/>
  </si>
  <si>
    <t>시스템 ,프로그램 설계</t>
    <phoneticPr fontId="2" type="noConversion"/>
  </si>
  <si>
    <t>프로그램 개발 가이드(Web, App, ADMIN)</t>
    <phoneticPr fontId="2" type="noConversion"/>
  </si>
  <si>
    <t>프로그램 가이드 검수(Inspection)</t>
    <phoneticPr fontId="2" type="noConversion"/>
  </si>
  <si>
    <t>개발</t>
    <phoneticPr fontId="2" type="noConversion"/>
  </si>
  <si>
    <t>관리자 계정관리, 회원 관리, 메뉴 관리</t>
    <phoneticPr fontId="2" type="noConversion"/>
  </si>
  <si>
    <t>관리자 계정관리, 회원 관리, 메뉴 관리 화면 테스트</t>
    <phoneticPr fontId="2" type="noConversion"/>
  </si>
  <si>
    <t>고객지원 관리 화면</t>
    <phoneticPr fontId="2" type="noConversion"/>
  </si>
  <si>
    <t>고객지원 관리 화면 테스트</t>
    <phoneticPr fontId="2" type="noConversion"/>
  </si>
  <si>
    <t>프로그램 개발(Web)</t>
    <phoneticPr fontId="2" type="noConversion"/>
  </si>
  <si>
    <t>프로그램 개발(App)</t>
    <phoneticPr fontId="2" type="noConversion"/>
  </si>
  <si>
    <t>고객지원 화면 테스트</t>
    <phoneticPr fontId="2" type="noConversion"/>
  </si>
  <si>
    <t>프로그램 개발</t>
    <phoneticPr fontId="2" type="noConversion"/>
  </si>
  <si>
    <t>프로그램 개발</t>
    <phoneticPr fontId="2" type="noConversion"/>
  </si>
  <si>
    <t>로그인, 회원가입 화면</t>
    <phoneticPr fontId="2" type="noConversion"/>
  </si>
  <si>
    <t>로그인, 회원가입 화면 테스트</t>
    <phoneticPr fontId="2" type="noConversion"/>
  </si>
  <si>
    <t>프로그램 개발</t>
    <phoneticPr fontId="2" type="noConversion"/>
  </si>
  <si>
    <t xml:space="preserve">부모페이지 화면 </t>
    <phoneticPr fontId="2" type="noConversion"/>
  </si>
  <si>
    <t>부모페이지 화면 테스트</t>
    <phoneticPr fontId="2" type="noConversion"/>
  </si>
  <si>
    <t>프로그램 개발</t>
    <phoneticPr fontId="2" type="noConversion"/>
  </si>
  <si>
    <t>통합테스트 결과서</t>
    <phoneticPr fontId="2" type="noConversion"/>
  </si>
  <si>
    <t>통합테스트 수행</t>
    <phoneticPr fontId="2" type="noConversion"/>
  </si>
  <si>
    <t>기획,개발</t>
  </si>
  <si>
    <t>데이터 이관 수행</t>
    <phoneticPr fontId="2" type="noConversion"/>
  </si>
  <si>
    <t xml:space="preserve">개발 </t>
    <phoneticPr fontId="2" type="noConversion"/>
  </si>
  <si>
    <t>1차 오픈</t>
    <phoneticPr fontId="2" type="noConversion"/>
  </si>
  <si>
    <t>2차 개발</t>
    <phoneticPr fontId="2" type="noConversion"/>
  </si>
  <si>
    <t xml:space="preserve">2차 개발 </t>
    <phoneticPr fontId="2" type="noConversion"/>
  </si>
  <si>
    <t>2차 개발</t>
    <phoneticPr fontId="2" type="noConversion"/>
  </si>
  <si>
    <t>회원 연동</t>
    <phoneticPr fontId="2" type="noConversion"/>
  </si>
  <si>
    <t>정기구독</t>
    <phoneticPr fontId="2" type="noConversion"/>
  </si>
  <si>
    <t>도서 구매 주문 커스텀</t>
    <phoneticPr fontId="2" type="noConversion"/>
  </si>
  <si>
    <t>도서몰 시스템</t>
    <phoneticPr fontId="2" type="noConversion"/>
  </si>
  <si>
    <t>개발</t>
    <phoneticPr fontId="2" type="noConversion"/>
  </si>
  <si>
    <t>개발</t>
    <phoneticPr fontId="2" type="noConversion"/>
  </si>
  <si>
    <t>회원 연동 테스트</t>
    <phoneticPr fontId="2" type="noConversion"/>
  </si>
  <si>
    <t>정기구독 테스트</t>
    <phoneticPr fontId="2" type="noConversion"/>
  </si>
  <si>
    <t>도서 구매 주문 커스텀 테스트</t>
    <phoneticPr fontId="2" type="noConversion"/>
  </si>
  <si>
    <t>PG  연동, 결제</t>
    <phoneticPr fontId="2" type="noConversion"/>
  </si>
  <si>
    <t>PG  연동, 결제 테스트</t>
    <phoneticPr fontId="2" type="noConversion"/>
  </si>
  <si>
    <t xml:space="preserve">2차 개발 테스트 </t>
    <phoneticPr fontId="2" type="noConversion"/>
  </si>
  <si>
    <t xml:space="preserve">2차 개발이행 </t>
    <phoneticPr fontId="2" type="noConversion"/>
  </si>
  <si>
    <t>2차 오픈</t>
    <phoneticPr fontId="2" type="noConversion"/>
  </si>
  <si>
    <t>프로그램 개발</t>
    <phoneticPr fontId="2" type="noConversion"/>
  </si>
  <si>
    <t>단위테스트</t>
    <phoneticPr fontId="2" type="noConversion"/>
  </si>
  <si>
    <t>7.1.1</t>
    <phoneticPr fontId="2" type="noConversion"/>
  </si>
  <si>
    <t>5.2.2</t>
  </si>
  <si>
    <t>7.1.2</t>
    <phoneticPr fontId="2" type="noConversion"/>
  </si>
  <si>
    <t>7.1.3</t>
    <phoneticPr fontId="2" type="noConversion"/>
  </si>
  <si>
    <t>7.1.4</t>
  </si>
  <si>
    <t>7.1.5</t>
  </si>
  <si>
    <t>7.1.6</t>
  </si>
  <si>
    <t>7.1.7</t>
  </si>
  <si>
    <t>7.1.8</t>
  </si>
  <si>
    <t>8.1.1</t>
    <phoneticPr fontId="2" type="noConversion"/>
  </si>
  <si>
    <t>8.1.2</t>
    <phoneticPr fontId="2" type="noConversion"/>
  </si>
  <si>
    <t>8.2.1</t>
    <phoneticPr fontId="2" type="noConversion"/>
  </si>
  <si>
    <t>8.2.2</t>
    <phoneticPr fontId="2" type="noConversion"/>
  </si>
  <si>
    <t>8.3.1</t>
    <phoneticPr fontId="2" type="noConversion"/>
  </si>
  <si>
    <t>8.3.2</t>
    <phoneticPr fontId="2" type="noConversion"/>
  </si>
  <si>
    <t>4.1.1</t>
    <phoneticPr fontId="2" type="noConversion"/>
  </si>
  <si>
    <t>4.3.3</t>
  </si>
  <si>
    <t>4.1.2</t>
  </si>
  <si>
    <t>4.2.1</t>
    <phoneticPr fontId="2" type="noConversion"/>
  </si>
  <si>
    <t>4.3.1</t>
    <phoneticPr fontId="2" type="noConversion"/>
  </si>
  <si>
    <t>4.3.2</t>
  </si>
  <si>
    <t>4.3.4</t>
  </si>
  <si>
    <t>5.1.1</t>
    <phoneticPr fontId="2" type="noConversion"/>
  </si>
  <si>
    <t>5.1.2</t>
  </si>
  <si>
    <t>5.2.1</t>
    <phoneticPr fontId="2" type="noConversion"/>
  </si>
  <si>
    <t>5.3.1</t>
    <phoneticPr fontId="2" type="noConversion"/>
  </si>
  <si>
    <t>5.3.2</t>
  </si>
  <si>
    <t>최윤정</t>
    <phoneticPr fontId="2" type="noConversion"/>
  </si>
  <si>
    <t>디자인 컨셉 정의서</t>
    <phoneticPr fontId="2" type="noConversion"/>
  </si>
  <si>
    <t>최용수</t>
    <phoneticPr fontId="2" type="noConversion"/>
  </si>
  <si>
    <t>강희준</t>
    <phoneticPr fontId="2" type="noConversion"/>
  </si>
  <si>
    <t>단위테스트 시나리오</t>
    <phoneticPr fontId="2" type="noConversion"/>
  </si>
  <si>
    <t>단위테스트 시나리오 작성(Web)</t>
    <phoneticPr fontId="2" type="noConversion"/>
  </si>
  <si>
    <t>단위테스트 시나리오 작성(App)</t>
    <phoneticPr fontId="2" type="noConversion"/>
  </si>
  <si>
    <t>단위테스트 시나리오 작성(Admin)</t>
    <phoneticPr fontId="2" type="noConversion"/>
  </si>
  <si>
    <t>단위테스트 시나리오 작성 검수(Inspection)</t>
    <phoneticPr fontId="2" type="noConversion"/>
  </si>
  <si>
    <t>단위테스트 시나리오 작성(Web)</t>
    <phoneticPr fontId="2" type="noConversion"/>
  </si>
  <si>
    <t>단위테스트 시나리오 작성(App)</t>
    <phoneticPr fontId="2" type="noConversion"/>
  </si>
  <si>
    <t>단위테스트 시나리오 작성(ADMIN)</t>
    <phoneticPr fontId="2" type="noConversion"/>
  </si>
  <si>
    <t>단위테스트 시나리오(Web)</t>
    <phoneticPr fontId="2" type="noConversion"/>
  </si>
  <si>
    <t>단위테스트 시나리오(App)</t>
    <phoneticPr fontId="2" type="noConversion"/>
  </si>
  <si>
    <t>단위테스트 시나리오(ADMIN)</t>
    <phoneticPr fontId="2" type="noConversion"/>
  </si>
  <si>
    <t>TBD</t>
    <phoneticPr fontId="2" type="noConversion"/>
  </si>
  <si>
    <t>단위테스트 시나리오 작성 검수</t>
    <phoneticPr fontId="2" type="noConversion"/>
  </si>
  <si>
    <t>디자인 가이드 검수</t>
    <phoneticPr fontId="2" type="noConversion"/>
  </si>
  <si>
    <t>Admin</t>
    <phoneticPr fontId="2" type="noConversion"/>
  </si>
  <si>
    <t>상세 화면 퍼블리싱 검수(Inspection)</t>
    <phoneticPr fontId="2" type="noConversion"/>
  </si>
  <si>
    <t>상세 화면 퍼블리싱 (Web)</t>
    <phoneticPr fontId="2" type="noConversion"/>
  </si>
  <si>
    <t>상세 화면 퍼블리싱 (APP)</t>
    <phoneticPr fontId="2" type="noConversion"/>
  </si>
  <si>
    <t>Web</t>
    <phoneticPr fontId="2" type="noConversion"/>
  </si>
  <si>
    <t>APP</t>
    <phoneticPr fontId="2" type="noConversion"/>
  </si>
  <si>
    <t>퍼블리싱 가이드 검수</t>
    <phoneticPr fontId="2" type="noConversion"/>
  </si>
  <si>
    <t>APP 상세 화면 퍼블리싱 제작 검수 및 승인</t>
    <phoneticPr fontId="2" type="noConversion"/>
  </si>
  <si>
    <t>4.1.5</t>
    <phoneticPr fontId="2" type="noConversion"/>
  </si>
  <si>
    <t>4.3.5</t>
  </si>
  <si>
    <t xml:space="preserve">스티커관리, LMS, CMS 화면 </t>
    <phoneticPr fontId="2" type="noConversion"/>
  </si>
  <si>
    <t>스티커관리, LMS, CMS 화면 테스트</t>
    <phoneticPr fontId="2" type="noConversion"/>
  </si>
  <si>
    <t>고객지원 화면(공지사항, 문의하기, FAQ)</t>
    <phoneticPr fontId="2" type="noConversion"/>
  </si>
  <si>
    <t>웹뷰 패키징(Android)</t>
    <phoneticPr fontId="2" type="noConversion"/>
  </si>
  <si>
    <t>웹뷰 패키징(Android) 테스트</t>
    <phoneticPr fontId="2" type="noConversion"/>
  </si>
  <si>
    <t>네이티브 화면(Android)</t>
    <phoneticPr fontId="2" type="noConversion"/>
  </si>
  <si>
    <t>네이티브 화면(Android) 테스트</t>
    <phoneticPr fontId="2" type="noConversion"/>
  </si>
  <si>
    <t>4.3.6</t>
  </si>
  <si>
    <t>4.3.7</t>
  </si>
  <si>
    <t>4.3.8</t>
  </si>
  <si>
    <t>웹뷰 패키징(iOS)</t>
    <phoneticPr fontId="2" type="noConversion"/>
  </si>
  <si>
    <t>웹뷰 패키징(iOS) 테스트</t>
    <phoneticPr fontId="2" type="noConversion"/>
  </si>
  <si>
    <t>네이티브 화면(iOS)</t>
    <phoneticPr fontId="2" type="noConversion"/>
  </si>
  <si>
    <t>네이티브 화면(iOS) 테스트</t>
    <phoneticPr fontId="2" type="noConversion"/>
  </si>
  <si>
    <t>최용수, 이유진</t>
    <phoneticPr fontId="2" type="noConversion"/>
  </si>
  <si>
    <t>강희준, 이유진</t>
    <phoneticPr fontId="2" type="noConversion"/>
  </si>
  <si>
    <t>HW/SW 환경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</si>
</sst>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0.00_ "/>
    <numFmt numFmtId="178" formatCode="&quot;₩&quot;#,##0_);[Red]\(&quot;₩&quot;#,##0\)"/>
    <numFmt numFmtId="179" formatCode="_(* #,##0_);_(* \(#,##0\);_(* &quot;-&quot;_);_(@_)"/>
    <numFmt numFmtId="180" formatCode="_(* #,##0.00_);_(* \(#,##0.00\);_(* &quot;-&quot;??_);_(@_)"/>
    <numFmt numFmtId="181" formatCode="&quot;₩&quot;#,##0;[Red]&quot;₩&quot;\-#,##0"/>
    <numFmt numFmtId="182" formatCode="_ &quot;₩&quot;* #,##0_ ;_ &quot;₩&quot;* &quot;₩&quot;&quot;₩&quot;\-#,##0_ ;_ &quot;₩&quot;* &quot;-&quot;_ ;_ @_ "/>
    <numFmt numFmtId="183" formatCode="_ * #,##0.00_ ;_ * &quot;₩&quot;&quot;₩&quot;&quot;₩&quot;&quot;₩&quot;\-#,##0.00_ ;_ * &quot;-&quot;??_ ;_ @_ "/>
    <numFmt numFmtId="184" formatCode="&quot;$&quot;#,##0.00_);[Red]\(&quot;$&quot;#,##0.00\)"/>
    <numFmt numFmtId="185" formatCode="General_)"/>
    <numFmt numFmtId="186" formatCode="_-* #,##0_-;\-* #,##0_-;_-* \-_-;_-@_-"/>
    <numFmt numFmtId="187" formatCode="_-* #,##0_-;&quot;₩&quot;&quot;₩&quot;&quot;₩&quot;&quot;₩&quot;&quot;₩&quot;&quot;₩&quot;\-* #,##0_-;_-* &quot;-&quot;_-;_-@_-"/>
    <numFmt numFmtId="188" formatCode="_ &quot;₩&quot;* #,##0.00_ ;_ &quot;₩&quot;* &quot;₩&quot;&quot;₩&quot;&quot;₩&quot;&quot;₩&quot;\-#,##0.00_ ;_ &quot;₩&quot;* &quot;-&quot;??_ ;_ @_ "/>
    <numFmt numFmtId="189" formatCode="_-* #,##0.00_-;&quot;₩&quot;&quot;₩&quot;&quot;₩&quot;&quot;₩&quot;&quot;₩&quot;&quot;₩&quot;\-* #,##0.00_-;_-* &quot;-&quot;??_-;_-@_-"/>
    <numFmt numFmtId="190" formatCode="_-* #,##0\ _D_M_-;\-* #,##0\ _D_M_-;_-* &quot;-&quot;\ _D_M_-;_-@_-"/>
    <numFmt numFmtId="191" formatCode="_-* #,##0.00\ _D_M_-;\-* #,##0.00\ _D_M_-;_-* &quot;-&quot;??\ _D_M_-;_-@_-"/>
    <numFmt numFmtId="192" formatCode="0.00_)"/>
    <numFmt numFmtId="193" formatCode="_ 0.0%_ ;[Red]\(0.0%\)_ ;_ * &quot;-&quot;??_ ;_ @_ 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6" formatCode="0.0%"/>
    <numFmt numFmtId="197" formatCode="0.0_ "/>
    <numFmt numFmtId="198" formatCode="0.0_);[Red]\(0.0\)"/>
    <numFmt numFmtId="199" formatCode="0.00_);[Red]\(0.00\)"/>
  </numFmts>
  <fonts count="7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0" tint="-4.9989318521683403E-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2"/>
      <name val="Arial"/>
      <family val="2"/>
    </font>
    <font>
      <sz val="10"/>
      <color theme="1"/>
      <name val="나눔고딕"/>
      <family val="2"/>
      <charset val="129"/>
    </font>
    <font>
      <sz val="9"/>
      <color theme="1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b/>
      <sz val="10"/>
      <name val="Helv"/>
      <family val="2"/>
    </font>
    <font>
      <sz val="13"/>
      <name val="신그래픽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0"/>
      <name val="명조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Courier"/>
      <family val="3"/>
    </font>
    <font>
      <sz val="12"/>
      <name val="뼻뮝"/>
      <family val="3"/>
      <charset val="129"/>
    </font>
    <font>
      <sz val="12"/>
      <name val="宋体"/>
      <family val="3"/>
      <charset val="129"/>
    </font>
    <font>
      <sz val="11"/>
      <color indexed="8"/>
      <name val="Calibri"/>
      <family val="2"/>
    </font>
    <font>
      <sz val="10"/>
      <name val="Arial Narrow"/>
      <family val="2"/>
    </font>
    <font>
      <sz val="11"/>
      <color indexed="8"/>
      <name val="ＭＳ Ｐゴシック"/>
      <family val="2"/>
      <charset val="128"/>
    </font>
    <font>
      <sz val="11"/>
      <name val="Times New Roman"/>
      <family val="1"/>
    </font>
    <font>
      <sz val="10"/>
      <color indexed="24"/>
      <name val="Arial"/>
      <family val="2"/>
    </font>
    <font>
      <sz val="10"/>
      <name val="Times New Roman"/>
      <family val="1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8"/>
      <name val="Times New Roman"/>
      <family val="1"/>
    </font>
    <font>
      <sz val="11"/>
      <color theme="1"/>
      <name val="맑은 고딕"/>
      <family val="2"/>
      <scheme val="minor"/>
    </font>
    <font>
      <sz val="48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8"/>
      <color theme="1" tint="0.249977111117893"/>
      <name val="맑은 고딕"/>
      <family val="2"/>
      <charset val="129"/>
      <scheme val="minor"/>
    </font>
    <font>
      <sz val="28"/>
      <color theme="1" tint="0.249977111117893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b/>
      <sz val="8"/>
      <color theme="0" tint="-4.9989318521683403E-2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9"/>
      <color theme="1" tint="0.249977111117893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6"/>
      <color theme="1" tint="0.249977111117893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8">
    <xf numFmtId="0" fontId="0" fillId="0" borderId="0">
      <alignment vertical="center"/>
    </xf>
    <xf numFmtId="0" fontId="9" fillId="0" borderId="0"/>
    <xf numFmtId="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3">
      <alignment horizontal="left"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9" fillId="0" borderId="0" applyFill="0" applyBorder="0" applyAlignment="0"/>
    <xf numFmtId="0" fontId="17" fillId="0" borderId="0"/>
    <xf numFmtId="182" fontId="18" fillId="0" borderId="0"/>
    <xf numFmtId="0" fontId="15" fillId="0" borderId="0"/>
    <xf numFmtId="183" fontId="18" fillId="0" borderId="0"/>
    <xf numFmtId="38" fontId="19" fillId="5" borderId="0" applyNumberFormat="0" applyBorder="0" applyAlignment="0" applyProtection="0"/>
    <xf numFmtId="0" fontId="20" fillId="0" borderId="0">
      <alignment horizontal="left"/>
    </xf>
    <xf numFmtId="10" fontId="19" fillId="5" borderId="1" applyNumberFormat="0" applyBorder="0" applyAlignment="0" applyProtection="0"/>
    <xf numFmtId="0" fontId="21" fillId="0" borderId="5"/>
    <xf numFmtId="184" fontId="9" fillId="0" borderId="0"/>
    <xf numFmtId="10" fontId="15" fillId="0" borderId="0" applyFont="0" applyFill="0" applyBorder="0" applyAlignment="0" applyProtection="0"/>
    <xf numFmtId="0" fontId="21" fillId="0" borderId="0"/>
    <xf numFmtId="41" fontId="1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0" borderId="0"/>
    <xf numFmtId="0" fontId="22" fillId="0" borderId="2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6" fillId="0" borderId="0"/>
    <xf numFmtId="0" fontId="10" fillId="0" borderId="0"/>
    <xf numFmtId="0" fontId="15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185" fontId="40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6" fontId="9" fillId="0" borderId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8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37" fontId="15" fillId="0" borderId="0" applyFont="0" applyFill="0" applyBorder="0" applyAlignment="0" applyProtection="0"/>
    <xf numFmtId="37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42" fontId="15" fillId="0" borderId="0" applyFont="0" applyFill="0" applyBorder="0" applyAlignment="0" applyProtection="0">
      <alignment vertical="center"/>
    </xf>
    <xf numFmtId="0" fontId="15" fillId="0" borderId="0"/>
    <xf numFmtId="0" fontId="15" fillId="0" borderId="0">
      <alignment wrapText="1"/>
    </xf>
    <xf numFmtId="0" fontId="15" fillId="0" borderId="0"/>
    <xf numFmtId="0" fontId="9" fillId="0" borderId="0"/>
    <xf numFmtId="0" fontId="15" fillId="0" borderId="0"/>
    <xf numFmtId="0" fontId="15" fillId="0" borderId="0"/>
    <xf numFmtId="0" fontId="9" fillId="0" borderId="0">
      <alignment vertical="center"/>
    </xf>
    <xf numFmtId="0" fontId="15" fillId="0" borderId="0"/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43" fillId="0" borderId="0"/>
    <xf numFmtId="0" fontId="9" fillId="0" borderId="0"/>
    <xf numFmtId="0" fontId="23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4" fillId="0" borderId="0"/>
    <xf numFmtId="0" fontId="15" fillId="0" borderId="0"/>
    <xf numFmtId="0" fontId="45" fillId="0" borderId="0"/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7" fillId="8" borderId="0" applyNumberFormat="0" applyBorder="0" applyAlignment="0" applyProtection="0">
      <alignment vertical="center"/>
    </xf>
    <xf numFmtId="0" fontId="46" fillId="0" borderId="0"/>
    <xf numFmtId="0" fontId="26" fillId="25" borderId="6" applyNumberFormat="0" applyAlignment="0" applyProtection="0">
      <alignment vertical="center"/>
    </xf>
    <xf numFmtId="0" fontId="30" fillId="28" borderId="8" applyNumberForma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8" fontId="9" fillId="0" borderId="0"/>
    <xf numFmtId="189" fontId="15" fillId="0" borderId="0" applyFont="0" applyFill="0" applyBorder="0" applyAlignment="0" applyProtection="0"/>
    <xf numFmtId="3" fontId="4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8" fillId="0" borderId="0"/>
    <xf numFmtId="0" fontId="47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48" fillId="0" borderId="0"/>
    <xf numFmtId="0" fontId="29" fillId="0" borderId="0" applyNumberFormat="0" applyFill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38" fontId="19" fillId="6" borderId="0" applyNumberFormat="0" applyBorder="0" applyAlignment="0" applyProtection="0"/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33" fillId="12" borderId="6" applyNumberFormat="0" applyAlignment="0" applyProtection="0">
      <alignment vertical="center"/>
    </xf>
    <xf numFmtId="10" fontId="19" fillId="29" borderId="1" applyNumberFormat="0" applyBorder="0" applyAlignment="0" applyProtection="0"/>
    <xf numFmtId="0" fontId="31" fillId="0" borderId="9" applyNumberFormat="0" applyFill="0" applyAlignment="0" applyProtection="0">
      <alignment vertical="center"/>
    </xf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8" fillId="27" borderId="0" applyNumberFormat="0" applyBorder="0" applyAlignment="0" applyProtection="0">
      <alignment vertical="center"/>
    </xf>
    <xf numFmtId="192" fontId="9" fillId="0" borderId="0"/>
    <xf numFmtId="0" fontId="43" fillId="0" borderId="0">
      <alignment vertical="center"/>
    </xf>
    <xf numFmtId="0" fontId="43" fillId="0" borderId="0"/>
    <xf numFmtId="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0" fontId="43" fillId="0" borderId="0">
      <alignment vertical="center"/>
    </xf>
    <xf numFmtId="0" fontId="5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43" fillId="0" borderId="0">
      <alignment vertical="center"/>
    </xf>
    <xf numFmtId="0" fontId="9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0" fontId="43" fillId="0" borderId="0">
      <alignment vertical="center"/>
    </xf>
    <xf numFmtId="0" fontId="51" fillId="0" borderId="0"/>
    <xf numFmtId="0" fontId="9" fillId="26" borderId="7" applyNumberFormat="0" applyFont="0" applyAlignment="0" applyProtection="0">
      <alignment vertical="center"/>
    </xf>
    <xf numFmtId="0" fontId="39" fillId="25" borderId="14" applyNumberFormat="0" applyAlignment="0" applyProtection="0">
      <alignment vertical="center"/>
    </xf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193" fontId="15" fillId="0" borderId="0" applyFont="0" applyFill="0" applyBorder="0" applyAlignment="0" applyProtection="0"/>
    <xf numFmtId="0" fontId="15" fillId="0" borderId="0"/>
    <xf numFmtId="0" fontId="16" fillId="0" borderId="0"/>
    <xf numFmtId="0" fontId="34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194" fontId="15" fillId="0" borderId="0" applyFont="0" applyFill="0" applyBorder="0" applyAlignment="0" applyProtection="0"/>
    <xf numFmtId="195" fontId="15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52" fillId="0" borderId="0"/>
    <xf numFmtId="41" fontId="5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9" fontId="52" fillId="0" borderId="0" applyFon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0" fillId="0" borderId="15" xfId="0" applyBorder="1">
      <alignment vertical="center"/>
    </xf>
    <xf numFmtId="0" fontId="57" fillId="0" borderId="0" xfId="0" applyFont="1">
      <alignment vertical="center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4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64" fillId="32" borderId="26" xfId="0" applyFont="1" applyFill="1" applyBorder="1">
      <alignment vertical="center"/>
    </xf>
    <xf numFmtId="196" fontId="6" fillId="0" borderId="0" xfId="0" applyNumberFormat="1" applyFont="1" applyAlignment="1">
      <alignment horizontal="center" vertical="center"/>
    </xf>
    <xf numFmtId="0" fontId="7" fillId="32" borderId="32" xfId="0" applyFont="1" applyFill="1" applyBorder="1" applyAlignment="1">
      <alignment horizontal="center" vertical="center"/>
    </xf>
    <xf numFmtId="49" fontId="69" fillId="33" borderId="1" xfId="286" applyNumberFormat="1" applyFont="1" applyFill="1" applyBorder="1" applyAlignment="1">
      <alignment horizontal="center" vertical="center"/>
    </xf>
    <xf numFmtId="0" fontId="69" fillId="33" borderId="1" xfId="286" applyFont="1" applyFill="1" applyBorder="1" applyAlignment="1">
      <alignment horizontal="center" vertical="center"/>
    </xf>
    <xf numFmtId="0" fontId="69" fillId="33" borderId="38" xfId="286" applyFont="1" applyFill="1" applyBorder="1" applyAlignment="1">
      <alignment horizontal="center" vertical="center"/>
    </xf>
    <xf numFmtId="0" fontId="69" fillId="33" borderId="1" xfId="286" applyFont="1" applyFill="1" applyBorder="1" applyAlignment="1">
      <alignment horizontal="center" vertical="center" wrapText="1"/>
    </xf>
    <xf numFmtId="0" fontId="69" fillId="33" borderId="38" xfId="286" applyFont="1" applyFill="1" applyBorder="1" applyAlignment="1">
      <alignment horizontal="center" vertical="center" wrapText="1"/>
    </xf>
    <xf numFmtId="49" fontId="67" fillId="31" borderId="34" xfId="286" applyNumberFormat="1" applyFont="1" applyFill="1" applyBorder="1" applyAlignment="1">
      <alignment horizontal="center" vertical="center" shrinkToFit="1"/>
    </xf>
    <xf numFmtId="0" fontId="67" fillId="31" borderId="35" xfId="286" applyFont="1" applyFill="1" applyBorder="1" applyAlignment="1">
      <alignment horizontal="center" vertical="center" shrinkToFit="1"/>
    </xf>
    <xf numFmtId="0" fontId="67" fillId="31" borderId="36" xfId="286" applyFont="1" applyFill="1" applyBorder="1" applyAlignment="1">
      <alignment horizontal="center" vertical="center" shrinkToFit="1"/>
    </xf>
    <xf numFmtId="0" fontId="67" fillId="31" borderId="37" xfId="286" applyFont="1" applyFill="1" applyBorder="1" applyAlignment="1">
      <alignment horizontal="center" vertical="center" shrinkToFit="1"/>
    </xf>
    <xf numFmtId="0" fontId="4" fillId="35" borderId="0" xfId="0" applyFont="1" applyFill="1" applyAlignment="1">
      <alignment vertical="center" wrapText="1"/>
    </xf>
    <xf numFmtId="0" fontId="6" fillId="35" borderId="0" xfId="0" applyFont="1" applyFill="1" applyAlignment="1">
      <alignment horizontal="center" vertical="center"/>
    </xf>
    <xf numFmtId="0" fontId="6" fillId="35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5" fillId="35" borderId="0" xfId="0" applyFont="1" applyFill="1" applyAlignment="1">
      <alignment horizontal="left" vertical="center" wrapText="1"/>
    </xf>
    <xf numFmtId="0" fontId="4" fillId="35" borderId="0" xfId="0" applyNumberFormat="1" applyFont="1" applyFill="1" applyAlignment="1">
      <alignment horizontal="center" vertical="center"/>
    </xf>
    <xf numFmtId="0" fontId="6" fillId="35" borderId="0" xfId="0" applyFont="1" applyFill="1">
      <alignment vertical="center"/>
    </xf>
    <xf numFmtId="0" fontId="6" fillId="35" borderId="0" xfId="0" applyFont="1" applyFill="1" applyAlignment="1">
      <alignment horizontal="center" vertical="center" wrapText="1"/>
    </xf>
    <xf numFmtId="14" fontId="5" fillId="35" borderId="0" xfId="0" applyNumberFormat="1" applyFont="1" applyFill="1" applyAlignment="1">
      <alignment vertical="center" wrapText="1"/>
    </xf>
    <xf numFmtId="177" fontId="4" fillId="35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2" fontId="6" fillId="0" borderId="0" xfId="0" applyNumberFormat="1" applyFont="1" applyAlignment="1">
      <alignment horizontal="center" vertical="center"/>
    </xf>
    <xf numFmtId="2" fontId="4" fillId="35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177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35" borderId="0" xfId="0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6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73" fillId="4" borderId="0" xfId="0" applyFont="1" applyFill="1" applyAlignment="1">
      <alignment vertical="center" wrapText="1"/>
    </xf>
    <xf numFmtId="0" fontId="6" fillId="0" borderId="0" xfId="0" applyFont="1" applyAlignment="1">
      <alignment vertical="top"/>
    </xf>
    <xf numFmtId="0" fontId="6" fillId="35" borderId="0" xfId="0" applyFont="1" applyFill="1" applyAlignment="1">
      <alignment vertical="top"/>
    </xf>
    <xf numFmtId="14" fontId="5" fillId="0" borderId="0" xfId="0" applyNumberFormat="1" applyFont="1" applyAlignment="1">
      <alignment vertical="top" wrapText="1"/>
    </xf>
    <xf numFmtId="0" fontId="6" fillId="0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73" fillId="4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>
      <alignment vertical="center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vertical="top" wrapText="1"/>
    </xf>
    <xf numFmtId="198" fontId="6" fillId="0" borderId="0" xfId="0" applyNumberFormat="1" applyFont="1" applyAlignment="1">
      <alignment horizontal="center" vertical="center"/>
    </xf>
    <xf numFmtId="199" fontId="7" fillId="4" borderId="32" xfId="0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horizontal="center" vertical="center"/>
    </xf>
    <xf numFmtId="196" fontId="8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top"/>
    </xf>
    <xf numFmtId="14" fontId="8" fillId="3" borderId="41" xfId="0" applyNumberFormat="1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199" fontId="8" fillId="3" borderId="41" xfId="0" applyNumberFormat="1" applyFont="1" applyFill="1" applyBorder="1" applyAlignment="1">
      <alignment horizontal="center" vertical="center"/>
    </xf>
    <xf numFmtId="196" fontId="8" fillId="3" borderId="41" xfId="0" applyNumberFormat="1" applyFont="1" applyFill="1" applyBorder="1" applyAlignment="1">
      <alignment horizontal="center" vertical="center"/>
    </xf>
    <xf numFmtId="0" fontId="73" fillId="3" borderId="41" xfId="0" applyFont="1" applyFill="1" applyBorder="1" applyAlignment="1">
      <alignment horizontal="center" vertical="center"/>
    </xf>
    <xf numFmtId="14" fontId="4" fillId="0" borderId="41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99" fontId="4" fillId="0" borderId="41" xfId="0" applyNumberFormat="1" applyFont="1" applyBorder="1" applyAlignment="1">
      <alignment horizontal="center" vertical="center"/>
    </xf>
    <xf numFmtId="196" fontId="4" fillId="0" borderId="41" xfId="0" applyNumberFormat="1" applyFont="1" applyBorder="1" applyAlignment="1">
      <alignment horizontal="center" vertical="center"/>
    </xf>
    <xf numFmtId="196" fontId="8" fillId="4" borderId="41" xfId="0" applyNumberFormat="1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5" fillId="0" borderId="41" xfId="0" applyNumberFormat="1" applyFont="1" applyBorder="1" applyAlignment="1">
      <alignment horizontal="center" vertical="center"/>
    </xf>
    <xf numFmtId="199" fontId="6" fillId="0" borderId="41" xfId="0" applyNumberFormat="1" applyFont="1" applyBorder="1" applyAlignment="1">
      <alignment horizontal="center" vertical="center"/>
    </xf>
    <xf numFmtId="9" fontId="6" fillId="0" borderId="41" xfId="0" applyNumberFormat="1" applyFont="1" applyBorder="1" applyAlignment="1">
      <alignment horizontal="center" vertical="center"/>
    </xf>
    <xf numFmtId="196" fontId="6" fillId="0" borderId="41" xfId="0" applyNumberFormat="1" applyFont="1" applyBorder="1" applyAlignment="1">
      <alignment horizontal="center" vertical="center"/>
    </xf>
    <xf numFmtId="0" fontId="71" fillId="0" borderId="41" xfId="0" applyFont="1" applyFill="1" applyBorder="1" applyAlignment="1">
      <alignment horizontal="center" vertical="center"/>
    </xf>
    <xf numFmtId="14" fontId="5" fillId="0" borderId="41" xfId="0" applyNumberFormat="1" applyFont="1" applyFill="1" applyBorder="1" applyAlignment="1">
      <alignment horizontal="center" vertical="center"/>
    </xf>
    <xf numFmtId="14" fontId="70" fillId="35" borderId="41" xfId="0" applyNumberFormat="1" applyFont="1" applyFill="1" applyBorder="1" applyAlignment="1">
      <alignment horizontal="center" vertical="center"/>
    </xf>
    <xf numFmtId="0" fontId="6" fillId="35" borderId="41" xfId="0" applyFont="1" applyFill="1" applyBorder="1" applyAlignment="1">
      <alignment horizontal="center" vertical="center"/>
    </xf>
    <xf numFmtId="199" fontId="6" fillId="35" borderId="41" xfId="0" applyNumberFormat="1" applyFont="1" applyFill="1" applyBorder="1" applyAlignment="1">
      <alignment horizontal="center" vertical="center"/>
    </xf>
    <xf numFmtId="196" fontId="6" fillId="35" borderId="41" xfId="0" applyNumberFormat="1" applyFont="1" applyFill="1" applyBorder="1" applyAlignment="1">
      <alignment horizontal="center" vertical="center"/>
    </xf>
    <xf numFmtId="0" fontId="71" fillId="35" borderId="41" xfId="0" applyFont="1" applyFill="1" applyBorder="1" applyAlignment="1">
      <alignment horizontal="center" vertical="center"/>
    </xf>
    <xf numFmtId="14" fontId="7" fillId="3" borderId="41" xfId="0" applyNumberFormat="1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196" fontId="7" fillId="3" borderId="41" xfId="0" applyNumberFormat="1" applyFont="1" applyFill="1" applyBorder="1" applyAlignment="1">
      <alignment horizontal="center" vertical="center"/>
    </xf>
    <xf numFmtId="0" fontId="66" fillId="3" borderId="4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199" fontId="6" fillId="0" borderId="41" xfId="0" applyNumberFormat="1" applyFont="1" applyFill="1" applyBorder="1" applyAlignment="1">
      <alignment horizontal="center" vertical="center"/>
    </xf>
    <xf numFmtId="9" fontId="6" fillId="0" borderId="41" xfId="0" applyNumberFormat="1" applyFont="1" applyFill="1" applyBorder="1" applyAlignment="1">
      <alignment horizontal="center" vertical="center"/>
    </xf>
    <xf numFmtId="196" fontId="6" fillId="0" borderId="41" xfId="0" applyNumberFormat="1" applyFont="1" applyFill="1" applyBorder="1" applyAlignment="1">
      <alignment horizontal="center" vertical="center"/>
    </xf>
    <xf numFmtId="14" fontId="8" fillId="4" borderId="41" xfId="0" applyNumberFormat="1" applyFont="1" applyFill="1" applyBorder="1" applyAlignment="1">
      <alignment horizontal="center" vertical="center"/>
    </xf>
    <xf numFmtId="0" fontId="66" fillId="4" borderId="41" xfId="0" applyFont="1" applyFill="1" applyBorder="1" applyAlignment="1">
      <alignment horizontal="center" vertical="center"/>
    </xf>
    <xf numFmtId="199" fontId="73" fillId="4" borderId="41" xfId="0" applyNumberFormat="1" applyFont="1" applyFill="1" applyBorder="1" applyAlignment="1">
      <alignment horizontal="center" vertical="center"/>
    </xf>
    <xf numFmtId="196" fontId="73" fillId="4" borderId="41" xfId="0" applyNumberFormat="1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3" borderId="0" xfId="0" applyFont="1" applyFill="1" applyAlignment="1">
      <alignment horizontal="left" vertical="center"/>
    </xf>
    <xf numFmtId="0" fontId="55" fillId="0" borderId="26" xfId="0" applyFont="1" applyBorder="1" applyAlignment="1">
      <alignment horizontal="center" vertical="center"/>
    </xf>
    <xf numFmtId="0" fontId="55" fillId="0" borderId="27" xfId="0" applyFont="1" applyBorder="1" applyAlignment="1">
      <alignment horizontal="center" vertical="center"/>
    </xf>
    <xf numFmtId="0" fontId="60" fillId="4" borderId="29" xfId="0" applyFont="1" applyFill="1" applyBorder="1" applyAlignment="1">
      <alignment horizontal="center" vertical="center"/>
    </xf>
    <xf numFmtId="0" fontId="60" fillId="4" borderId="30" xfId="0" applyFont="1" applyFill="1" applyBorder="1" applyAlignment="1">
      <alignment horizontal="center" vertical="center"/>
    </xf>
    <xf numFmtId="0" fontId="60" fillId="30" borderId="23" xfId="0" applyFont="1" applyFill="1" applyBorder="1" applyAlignment="1">
      <alignment horizontal="center" vertical="center"/>
    </xf>
    <xf numFmtId="0" fontId="60" fillId="30" borderId="24" xfId="0" applyFont="1" applyFill="1" applyBorder="1" applyAlignment="1">
      <alignment horizontal="center" vertical="center"/>
    </xf>
    <xf numFmtId="0" fontId="60" fillId="30" borderId="22" xfId="0" applyFont="1" applyFill="1" applyBorder="1" applyAlignment="1">
      <alignment horizontal="left" vertical="center"/>
    </xf>
    <xf numFmtId="0" fontId="60" fillId="30" borderId="23" xfId="0" applyFont="1" applyFill="1" applyBorder="1" applyAlignment="1">
      <alignment horizontal="left" vertical="center"/>
    </xf>
    <xf numFmtId="0" fontId="55" fillId="0" borderId="25" xfId="0" applyFont="1" applyBorder="1" applyAlignment="1">
      <alignment horizontal="left" vertical="center"/>
    </xf>
    <xf numFmtId="0" fontId="55" fillId="0" borderId="26" xfId="0" applyFont="1" applyBorder="1" applyAlignment="1">
      <alignment horizontal="left" vertical="center"/>
    </xf>
    <xf numFmtId="0" fontId="60" fillId="4" borderId="28" xfId="0" applyFont="1" applyFill="1" applyBorder="1" applyAlignment="1">
      <alignment horizontal="left" vertical="center"/>
    </xf>
    <xf numFmtId="0" fontId="60" fillId="4" borderId="29" xfId="0" applyFont="1" applyFill="1" applyBorder="1" applyAlignment="1">
      <alignment horizontal="left" vertical="center"/>
    </xf>
    <xf numFmtId="0" fontId="56" fillId="0" borderId="39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197" fontId="4" fillId="0" borderId="38" xfId="0" applyNumberFormat="1" applyFont="1" applyFill="1" applyBorder="1" applyAlignment="1">
      <alignment horizontal="center" vertical="center"/>
    </xf>
    <xf numFmtId="197" fontId="4" fillId="0" borderId="40" xfId="0" applyNumberFormat="1" applyFont="1" applyFill="1" applyBorder="1" applyAlignment="1">
      <alignment horizontal="center" vertical="center"/>
    </xf>
    <xf numFmtId="197" fontId="63" fillId="0" borderId="38" xfId="0" applyNumberFormat="1" applyFont="1" applyFill="1" applyBorder="1" applyAlignment="1">
      <alignment horizontal="center" vertical="center"/>
    </xf>
    <xf numFmtId="197" fontId="63" fillId="0" borderId="40" xfId="0" applyNumberFormat="1" applyFont="1" applyFill="1" applyBorder="1" applyAlignment="1">
      <alignment horizontal="center" vertical="center"/>
    </xf>
    <xf numFmtId="14" fontId="4" fillId="0" borderId="38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14" fontId="63" fillId="0" borderId="38" xfId="0" applyNumberFormat="1" applyFont="1" applyBorder="1" applyAlignment="1">
      <alignment horizontal="center" vertical="center"/>
    </xf>
    <xf numFmtId="14" fontId="63" fillId="0" borderId="4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3" fillId="0" borderId="38" xfId="0" applyFont="1" applyFill="1" applyBorder="1" applyAlignment="1">
      <alignment horizontal="center" vertical="center"/>
    </xf>
    <xf numFmtId="0" fontId="63" fillId="0" borderId="40" xfId="0" applyFont="1" applyFill="1" applyBorder="1" applyAlignment="1">
      <alignment horizontal="center" vertical="center"/>
    </xf>
    <xf numFmtId="14" fontId="4" fillId="36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5" fillId="4" borderId="33" xfId="0" applyFont="1" applyFill="1" applyBorder="1" applyAlignment="1">
      <alignment horizontal="center" vertical="center" wrapText="1"/>
    </xf>
    <xf numFmtId="0" fontId="65" fillId="4" borderId="31" xfId="0" applyFont="1" applyFill="1" applyBorder="1" applyAlignment="1">
      <alignment horizontal="center" vertical="center" wrapText="1"/>
    </xf>
    <xf numFmtId="0" fontId="65" fillId="32" borderId="33" xfId="0" applyFont="1" applyFill="1" applyBorder="1" applyAlignment="1">
      <alignment horizontal="center" vertical="center" wrapText="1"/>
    </xf>
    <xf numFmtId="0" fontId="65" fillId="32" borderId="31" xfId="0" applyFont="1" applyFill="1" applyBorder="1" applyAlignment="1">
      <alignment horizontal="center" vertical="center" wrapText="1"/>
    </xf>
    <xf numFmtId="0" fontId="63" fillId="34" borderId="0" xfId="0" applyFont="1" applyFill="1" applyAlignment="1">
      <alignment horizontal="left" vertical="center"/>
    </xf>
    <xf numFmtId="0" fontId="7" fillId="2" borderId="32" xfId="0" applyFont="1" applyFill="1" applyBorder="1" applyAlignment="1">
      <alignment horizontal="center" vertical="center"/>
    </xf>
    <xf numFmtId="0" fontId="9" fillId="0" borderId="0" xfId="286"/>
    <xf numFmtId="0" fontId="61" fillId="2" borderId="32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60" fillId="2" borderId="16" xfId="0" applyFont="1" applyFill="1" applyBorder="1" applyAlignment="1">
      <alignment horizontal="center" vertical="center"/>
    </xf>
    <xf numFmtId="0" fontId="60" fillId="2" borderId="17" xfId="0" applyFont="1" applyFill="1" applyBorder="1" applyAlignment="1">
      <alignment horizontal="center" vertical="center"/>
    </xf>
  </cellXfs>
  <cellStyles count="288">
    <cellStyle name="_030409 기창 MSA1000" xfId="16"/>
    <cellStyle name="_0801281_아시아나항공_텔레피아DB서버교체(양준영님)" xfId="45"/>
    <cellStyle name="_0804252_금호리조트_HP서버(김용삼님)(1)" xfId="46"/>
    <cellStyle name="_0916 DL760 서버" xfId="17"/>
    <cellStyle name="_1012 ML570R MSA1000" xfId="18"/>
    <cellStyle name="_CPQRC_Storage_Dec05" xfId="49"/>
    <cellStyle name="_ProCurve Quick Reference Card - December 2005" xfId="50"/>
    <cellStyle name="_ProCurve Quick Reference Card - January 2006" xfId="51"/>
    <cellStyle name="_ProCurve Quick Reference Card - July 1 2005" xfId="52"/>
    <cellStyle name="_ProCurve Quick Reference Card - July 1 2005_Book1" xfId="53"/>
    <cellStyle name="_ProCurve Quick Reference Card - July 1 2005_HP_Care_Pack_Aug05" xfId="54"/>
    <cellStyle name="_ProCurve Quick Reference Card - July 1 2005_HP_Care_Pack_July05" xfId="55"/>
    <cellStyle name="_ProCurve Quick Reference Card - October 1  2005" xfId="56"/>
    <cellStyle name="_ProCurve Quick Reference Card - October 2005 v2" xfId="57"/>
    <cellStyle name="_R8_CPQRC Storage 7-29-05" xfId="58"/>
    <cellStyle name="_기본견적(2003년 01월)" xfId="47"/>
    <cellStyle name="_진코퍼레이션(DL580G3 外 - 051031)" xfId="19"/>
    <cellStyle name="_케이엠솔루션뱅크-p620" xfId="20"/>
    <cellStyle name="_항공 통합영업정보시스템 DB 서버 도입(DL580R G4)-이 종한 대리님(070611)(1)" xfId="48"/>
    <cellStyle name="0,0_x000d__x000a_NA_x000d__x000a_" xfId="59"/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174"/>
    <cellStyle name="Accent2" xfId="175"/>
    <cellStyle name="Accent3" xfId="176"/>
    <cellStyle name="Accent4" xfId="177"/>
    <cellStyle name="Accent5" xfId="178"/>
    <cellStyle name="Accent6" xfId="179"/>
    <cellStyle name="AeE­ [0]_0123" xfId="180"/>
    <cellStyle name="AeE­_0123" xfId="181"/>
    <cellStyle name="AÞ¸¶ [0]_0123" xfId="182"/>
    <cellStyle name="AÞ¸¶_0123" xfId="183"/>
    <cellStyle name="Bad" xfId="184"/>
    <cellStyle name="C￥AØ_0123" xfId="185"/>
    <cellStyle name="Calc Currency (0)" xfId="21"/>
    <cellStyle name="Calculation" xfId="186"/>
    <cellStyle name="category" xfId="22"/>
    <cellStyle name="Check Cell" xfId="187"/>
    <cellStyle name="Comma [0]" xfId="2"/>
    <cellStyle name="Comma [0] 2 13" xfId="188"/>
    <cellStyle name="Comma [0] 26" xfId="189"/>
    <cellStyle name="Comma [0]_0106(98)" xfId="190"/>
    <cellStyle name="comma zerodec" xfId="23"/>
    <cellStyle name="comma zerodec 2" xfId="191"/>
    <cellStyle name="Comma_0106(98)" xfId="192"/>
    <cellStyle name="Comma0" xfId="193"/>
    <cellStyle name="Currency [0]" xfId="3"/>
    <cellStyle name="Currency_0106(98)" xfId="194"/>
    <cellStyle name="Currency1" xfId="24"/>
    <cellStyle name="Currency1 2" xfId="195"/>
    <cellStyle name="Date" xfId="196"/>
    <cellStyle name="Dezimal [0]_laroux" xfId="197"/>
    <cellStyle name="Dezimal_laroux" xfId="198"/>
    <cellStyle name="Dollar (zero dec)" xfId="25"/>
    <cellStyle name="Dollar (zero dec) 2" xfId="199"/>
    <cellStyle name="Explanatory Text" xfId="200"/>
    <cellStyle name="Good" xfId="201"/>
    <cellStyle name="Grey" xfId="26"/>
    <cellStyle name="Grey 2" xfId="202"/>
    <cellStyle name="HEADER" xfId="27"/>
    <cellStyle name="Header1" xfId="4"/>
    <cellStyle name="Header2" xfId="5"/>
    <cellStyle name="Heading 1" xfId="203"/>
    <cellStyle name="Heading 2" xfId="204"/>
    <cellStyle name="Heading 3" xfId="205"/>
    <cellStyle name="Heading 4" xfId="206"/>
    <cellStyle name="Hyperlink_R6_NPI" xfId="207"/>
    <cellStyle name="Input" xfId="208"/>
    <cellStyle name="Input [yellow]" xfId="28"/>
    <cellStyle name="Input [yellow] 2" xfId="209"/>
    <cellStyle name="Linked Cell" xfId="210"/>
    <cellStyle name="Milliers [0]_Arabian Spec" xfId="211"/>
    <cellStyle name="Milliers_Arabian Spec" xfId="212"/>
    <cellStyle name="Model" xfId="29"/>
    <cellStyle name="Mon?aire [0]_Arabian Spec" xfId="213"/>
    <cellStyle name="Mon?aire_Arabian Spec" xfId="214"/>
    <cellStyle name="Neutral" xfId="215"/>
    <cellStyle name="Normal - Style1" xfId="30"/>
    <cellStyle name="Normal - Style1 2" xfId="216"/>
    <cellStyle name="Normal 10" xfId="217"/>
    <cellStyle name="Normal 101" xfId="218"/>
    <cellStyle name="Normal 11 8" xfId="219"/>
    <cellStyle name="Normal 12" xfId="220"/>
    <cellStyle name="Normal 13" xfId="221"/>
    <cellStyle name="Normal 16" xfId="222"/>
    <cellStyle name="Normal 17" xfId="223"/>
    <cellStyle name="Normal 19" xfId="224"/>
    <cellStyle name="Normal 2" xfId="225"/>
    <cellStyle name="Normal 2 10" xfId="226"/>
    <cellStyle name="Normal 2 12" xfId="227"/>
    <cellStyle name="Normal 2 13" xfId="228"/>
    <cellStyle name="Normal 2 15" xfId="229"/>
    <cellStyle name="Normal 2 17" xfId="230"/>
    <cellStyle name="Normal 2 19" xfId="231"/>
    <cellStyle name="Normal 2 21" xfId="232"/>
    <cellStyle name="Normal 2 22" xfId="233"/>
    <cellStyle name="Normal 2 25" xfId="234"/>
    <cellStyle name="Normal 2 29" xfId="235"/>
    <cellStyle name="Normal 2 31" xfId="236"/>
    <cellStyle name="Normal 2 33" xfId="237"/>
    <cellStyle name="Normal 2 34" xfId="238"/>
    <cellStyle name="Normal 2 35" xfId="239"/>
    <cellStyle name="Normal 2 36" xfId="240"/>
    <cellStyle name="Normal 2 37" xfId="241"/>
    <cellStyle name="Normal 2 40" xfId="242"/>
    <cellStyle name="Normal 2 41" xfId="243"/>
    <cellStyle name="Normal 2 47" xfId="244"/>
    <cellStyle name="Normal 2 56" xfId="245"/>
    <cellStyle name="Normal 20 3" xfId="246"/>
    <cellStyle name="Normal 21" xfId="247"/>
    <cellStyle name="Normal 22" xfId="248"/>
    <cellStyle name="Normal 23 8" xfId="249"/>
    <cellStyle name="Normal 24 3" xfId="250"/>
    <cellStyle name="Normal 25 3" xfId="251"/>
    <cellStyle name="Normal 26 8" xfId="252"/>
    <cellStyle name="Normal 27 3" xfId="253"/>
    <cellStyle name="Normal 28 8" xfId="254"/>
    <cellStyle name="Normal 29 3" xfId="255"/>
    <cellStyle name="Normal 3" xfId="256"/>
    <cellStyle name="Normal 3 2" xfId="257"/>
    <cellStyle name="Normal 32" xfId="258"/>
    <cellStyle name="Normal 4 18" xfId="259"/>
    <cellStyle name="Normal 4 2 21" xfId="260"/>
    <cellStyle name="Normal 6" xfId="261"/>
    <cellStyle name="Normal 7" xfId="262"/>
    <cellStyle name="Normal 8 8" xfId="263"/>
    <cellStyle name="Normal 9" xfId="264"/>
    <cellStyle name="Normal_#10-Headcount" xfId="265"/>
    <cellStyle name="Note" xfId="266"/>
    <cellStyle name="Output" xfId="267"/>
    <cellStyle name="Percent [2]" xfId="31"/>
    <cellStyle name="Percent 2" xfId="268"/>
    <cellStyle name="Percent 3" xfId="269"/>
    <cellStyle name="Percent 3 2" xfId="270"/>
    <cellStyle name="Percent 3 2 8" xfId="271"/>
    <cellStyle name="Percent_EBG Fcst &amp; BRM 2001_10_19" xfId="272"/>
    <cellStyle name="Standard_laroux" xfId="273"/>
    <cellStyle name="Style 1" xfId="274"/>
    <cellStyle name="subhead" xfId="32"/>
    <cellStyle name="Title" xfId="275"/>
    <cellStyle name="Total" xfId="276"/>
    <cellStyle name="W?rung [0]_laroux" xfId="277"/>
    <cellStyle name="W?rung_laroux" xfId="278"/>
    <cellStyle name="Warning Text" xfId="279"/>
    <cellStyle name="咬訌裝?INCOM1" xfId="78"/>
    <cellStyle name="咬訌裝?INCOM10" xfId="79"/>
    <cellStyle name="咬訌裝?INCOM2" xfId="80"/>
    <cellStyle name="咬訌裝?INCOM3" xfId="81"/>
    <cellStyle name="咬訌裝?INCOM4" xfId="82"/>
    <cellStyle name="咬訌裝?INCOM5" xfId="83"/>
    <cellStyle name="咬訌裝?INCOM6" xfId="84"/>
    <cellStyle name="咬訌裝?INCOM7" xfId="85"/>
    <cellStyle name="咬訌裝?INCOM8" xfId="86"/>
    <cellStyle name="咬訌裝?INCOM9" xfId="87"/>
    <cellStyle name="咬訌裝?PRIB11" xfId="88"/>
    <cellStyle name="백분율 10" xfId="89"/>
    <cellStyle name="백분율 2" xfId="8"/>
    <cellStyle name="백분율 2 10 2" xfId="90"/>
    <cellStyle name="백분율 2 2" xfId="91"/>
    <cellStyle name="백분율 2 3" xfId="92"/>
    <cellStyle name="백분율 2 4" xfId="93"/>
    <cellStyle name="백분율 3" xfId="94"/>
    <cellStyle name="백분율 3 2" xfId="95"/>
    <cellStyle name="백분율 3 3" xfId="96"/>
    <cellStyle name="백분율 3 4" xfId="97"/>
    <cellStyle name="백분율 4" xfId="98"/>
    <cellStyle name="백분율 5" xfId="287"/>
    <cellStyle name="뷭?_BOOKSHIP" xfId="99"/>
    <cellStyle name="常规_price-tx" xfId="100"/>
    <cellStyle name="쉼표 [0] 10" xfId="281"/>
    <cellStyle name="쉼표 [0] 18" xfId="33"/>
    <cellStyle name="쉼표 [0] 2" xfId="7"/>
    <cellStyle name="쉼표 [0] 2 2" xfId="9"/>
    <cellStyle name="쉼표 [0] 2 2 10" xfId="104"/>
    <cellStyle name="쉼표 [0] 2 2 11" xfId="105"/>
    <cellStyle name="쉼표 [0] 2 2 12" xfId="103"/>
    <cellStyle name="쉼표 [0] 2 2 2" xfId="106"/>
    <cellStyle name="쉼표 [0] 2 2 3" xfId="107"/>
    <cellStyle name="쉼표 [0] 2 2 4" xfId="108"/>
    <cellStyle name="쉼표 [0] 2 2 5" xfId="109"/>
    <cellStyle name="쉼표 [0] 2 2 6" xfId="110"/>
    <cellStyle name="쉼표 [0] 2 2 7" xfId="111"/>
    <cellStyle name="쉼표 [0] 2 2 8" xfId="112"/>
    <cellStyle name="쉼표 [0] 2 2 9" xfId="113"/>
    <cellStyle name="쉼표 [0] 2 3" xfId="114"/>
    <cellStyle name="쉼표 [0] 2 4" xfId="102"/>
    <cellStyle name="쉼표 [0] 3" xfId="11"/>
    <cellStyle name="쉼표 [0] 3 10" xfId="116"/>
    <cellStyle name="쉼표 [0] 3 11" xfId="117"/>
    <cellStyle name="쉼표 [0] 3 12" xfId="115"/>
    <cellStyle name="쉼표 [0] 3 13" xfId="283"/>
    <cellStyle name="쉼표 [0] 3 2" xfId="118"/>
    <cellStyle name="쉼표 [0] 3 3" xfId="119"/>
    <cellStyle name="쉼표 [0] 3 4" xfId="120"/>
    <cellStyle name="쉼표 [0] 3 5" xfId="121"/>
    <cellStyle name="쉼표 [0] 3 6" xfId="122"/>
    <cellStyle name="쉼표 [0] 3 7" xfId="123"/>
    <cellStyle name="쉼표 [0] 3 8" xfId="124"/>
    <cellStyle name="쉼표 [0] 3 9" xfId="125"/>
    <cellStyle name="쉼표 [0] 4" xfId="43"/>
    <cellStyle name="쉼표 [0] 4 2" xfId="126"/>
    <cellStyle name="쉼표 [0] 4 3" xfId="285"/>
    <cellStyle name="쉼표 [0] 5" xfId="34"/>
    <cellStyle name="쉼표 [0] 5 2" xfId="127"/>
    <cellStyle name="쉼표 [0] 6" xfId="14"/>
    <cellStyle name="쉼표 [0] 7" xfId="13"/>
    <cellStyle name="쉼표 [0] 8" xfId="101"/>
    <cellStyle name="쉼표 [0] 9" xfId="128"/>
    <cellStyle name="쉼표 2" xfId="129"/>
    <cellStyle name="쉼표 2 10 2" xfId="130"/>
    <cellStyle name="쉼표 2 2" xfId="131"/>
    <cellStyle name="쉼표 2 2 4" xfId="132"/>
    <cellStyle name="쉼표 2 29" xfId="133"/>
    <cellStyle name="쉼표 2 3" xfId="134"/>
    <cellStyle name="쉼표 4" xfId="135"/>
    <cellStyle name="쉼표 5" xfId="136"/>
    <cellStyle name="쉼표 5 2" xfId="137"/>
    <cellStyle name="쉼표 7" xfId="138"/>
    <cellStyle name="쉼표 7 2" xfId="139"/>
    <cellStyle name="쉼표 7 3" xfId="140"/>
    <cellStyle name="쉼표 7 4" xfId="141"/>
    <cellStyle name="쉼표 7 5" xfId="142"/>
    <cellStyle name="쉼표 7 6" xfId="143"/>
    <cellStyle name="쉼표 7 7" xfId="144"/>
    <cellStyle name="쉼표 7 8" xfId="145"/>
    <cellStyle name="스타일 1" xfId="35"/>
    <cellStyle name="안건회계법인" xfId="36"/>
    <cellStyle name="콤마 [0]_#18_upgr" xfId="37"/>
    <cellStyle name="콤마_#18_upgr" xfId="38"/>
    <cellStyle name="통화 [0] 2" xfId="39"/>
    <cellStyle name="통화 [0] 2 2" xfId="146"/>
    <cellStyle name="표준" xfId="0" builtinId="0"/>
    <cellStyle name="표준 10" xfId="147"/>
    <cellStyle name="표준 10 2" xfId="148"/>
    <cellStyle name="표준 11" xfId="44"/>
    <cellStyle name="표준 12" xfId="280"/>
    <cellStyle name="표준 16" xfId="149"/>
    <cellStyle name="표준 2" xfId="6"/>
    <cellStyle name="표준 2 10" xfId="151"/>
    <cellStyle name="표준 2 10 2" xfId="152"/>
    <cellStyle name="표준 2 2" xfId="15"/>
    <cellStyle name="표준 2 3" xfId="153"/>
    <cellStyle name="표준 2 35" xfId="154"/>
    <cellStyle name="표준 2 4" xfId="155"/>
    <cellStyle name="표준 2 5" xfId="156"/>
    <cellStyle name="표준 2 6" xfId="150"/>
    <cellStyle name="표준 2_견적총괄" xfId="157"/>
    <cellStyle name="표준 27" xfId="158"/>
    <cellStyle name="표준 3" xfId="1"/>
    <cellStyle name="표준 3 10 5" xfId="160"/>
    <cellStyle name="표준 3 2" xfId="161"/>
    <cellStyle name="표준 3 3" xfId="159"/>
    <cellStyle name="표준 3 4" xfId="10"/>
    <cellStyle name="표준 3 4 2" xfId="282"/>
    <cellStyle name="표준 3_견적총괄" xfId="162"/>
    <cellStyle name="표준 4" xfId="42"/>
    <cellStyle name="표준 4 2" xfId="163"/>
    <cellStyle name="표준 4 3" xfId="284"/>
    <cellStyle name="표준 5" xfId="40"/>
    <cellStyle name="표준 5 10" xfId="165"/>
    <cellStyle name="표준 5 2" xfId="164"/>
    <cellStyle name="표준 50" xfId="41"/>
    <cellStyle name="표준 6" xfId="12"/>
    <cellStyle name="표준 6 2" xfId="167"/>
    <cellStyle name="표준 6 3" xfId="166"/>
    <cellStyle name="표준 7" xfId="168"/>
    <cellStyle name="표준 8" xfId="169"/>
    <cellStyle name="표준 8 2" xfId="170"/>
    <cellStyle name="표준 9" xfId="171"/>
    <cellStyle name="표준 9 3" xfId="172"/>
    <cellStyle name="표준_LPLP7-PFQ-23751-문서표준양식(세로,목차미포함)_v1.0" xfId="286"/>
    <cellStyle name="標準_Sheet1" xfId="1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411480</xdr:rowOff>
    </xdr:to>
    <xdr:pic>
      <xdr:nvPicPr>
        <xdr:cNvPr id="2" name="그림 6" descr="logo_국문_가로_b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0</xdr:colOff>
      <xdr:row>23</xdr:row>
      <xdr:rowOff>190500</xdr:rowOff>
    </xdr:to>
    <xdr:pic>
      <xdr:nvPicPr>
        <xdr:cNvPr id="5" name="그림 6" descr="logo_국문_가로_b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4640580"/>
          <a:ext cx="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0</xdr:colOff>
      <xdr:row>15</xdr:row>
      <xdr:rowOff>190500</xdr:rowOff>
    </xdr:to>
    <xdr:pic>
      <xdr:nvPicPr>
        <xdr:cNvPr id="6" name="그림 6" descr="logo_국문_가로_b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72740"/>
          <a:ext cx="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632460</xdr:colOff>
      <xdr:row>23</xdr:row>
      <xdr:rowOff>175260</xdr:rowOff>
    </xdr:from>
    <xdr:to>
      <xdr:col>12</xdr:col>
      <xdr:colOff>315787</xdr:colOff>
      <xdr:row>25</xdr:row>
      <xdr:rowOff>91440</xdr:rowOff>
    </xdr:to>
    <xdr:pic>
      <xdr:nvPicPr>
        <xdr:cNvPr id="7" name="그림 6" descr="logo_국문_가로_b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060" y="5928360"/>
          <a:ext cx="1024447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opLeftCell="A7" zoomScaleNormal="100" workbookViewId="0">
      <selection activeCell="G22" sqref="G22"/>
    </sheetView>
  </sheetViews>
  <sheetFormatPr defaultRowHeight="17.399999999999999"/>
  <sheetData>
    <row r="2" spans="2:9" ht="67.8">
      <c r="B2" s="14" t="s">
        <v>94</v>
      </c>
      <c r="C2" s="15"/>
      <c r="D2" s="15"/>
    </row>
    <row r="3" spans="2:9" ht="6" customHeight="1"/>
    <row r="4" spans="2:9" ht="18" thickBot="1"/>
    <row r="5" spans="2:9" ht="8.4" customHeight="1" thickTop="1">
      <c r="B5" s="16"/>
      <c r="C5" s="16"/>
      <c r="D5" s="16"/>
      <c r="E5" s="16"/>
      <c r="F5" s="16"/>
      <c r="G5" s="21"/>
      <c r="H5" s="21"/>
      <c r="I5" s="21"/>
    </row>
    <row r="6" spans="2:9" ht="40.200000000000003">
      <c r="B6" s="17" t="s">
        <v>95</v>
      </c>
      <c r="C6" s="18"/>
      <c r="D6" s="18"/>
    </row>
    <row r="7" spans="2:9">
      <c r="B7" s="15"/>
      <c r="C7" s="15"/>
      <c r="D7" s="15"/>
    </row>
    <row r="8" spans="2:9" ht="5.4" customHeight="1">
      <c r="B8" s="15"/>
      <c r="C8" s="15"/>
      <c r="D8" s="15"/>
    </row>
    <row r="9" spans="2:9" ht="27.6">
      <c r="B9" s="19" t="s">
        <v>96</v>
      </c>
      <c r="C9" s="19"/>
      <c r="D9" s="15"/>
    </row>
    <row r="10" spans="2:9">
      <c r="B10" s="15"/>
      <c r="C10" s="15"/>
      <c r="D10" s="15"/>
    </row>
    <row r="16" spans="2:9" ht="18" thickBot="1"/>
    <row r="17" spans="2:6">
      <c r="B17" s="130" t="s">
        <v>101</v>
      </c>
      <c r="C17" s="131"/>
      <c r="D17" s="128" t="s">
        <v>103</v>
      </c>
      <c r="E17" s="128"/>
      <c r="F17" s="129"/>
    </row>
    <row r="18" spans="2:6">
      <c r="B18" s="132" t="s">
        <v>97</v>
      </c>
      <c r="C18" s="133"/>
      <c r="D18" s="124" t="s">
        <v>219</v>
      </c>
      <c r="E18" s="124"/>
      <c r="F18" s="125"/>
    </row>
    <row r="19" spans="2:6">
      <c r="B19" s="132" t="s">
        <v>98</v>
      </c>
      <c r="C19" s="133"/>
      <c r="D19" s="124" t="s">
        <v>218</v>
      </c>
      <c r="E19" s="124"/>
      <c r="F19" s="125"/>
    </row>
    <row r="20" spans="2:6">
      <c r="B20" s="132" t="s">
        <v>99</v>
      </c>
      <c r="C20" s="133"/>
      <c r="D20" s="124" t="s">
        <v>217</v>
      </c>
      <c r="E20" s="124"/>
      <c r="F20" s="125"/>
    </row>
    <row r="21" spans="2:6" ht="18" thickBot="1">
      <c r="B21" s="134" t="s">
        <v>100</v>
      </c>
      <c r="C21" s="135"/>
      <c r="D21" s="126" t="s">
        <v>102</v>
      </c>
      <c r="E21" s="126"/>
      <c r="F21" s="127"/>
    </row>
  </sheetData>
  <mergeCells count="10">
    <mergeCell ref="B17:C17"/>
    <mergeCell ref="B18:C18"/>
    <mergeCell ref="B19:C19"/>
    <mergeCell ref="B20:C20"/>
    <mergeCell ref="B21:C21"/>
    <mergeCell ref="D19:F19"/>
    <mergeCell ref="D20:F20"/>
    <mergeCell ref="D21:F21"/>
    <mergeCell ref="D18:F18"/>
    <mergeCell ref="D17:F17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G5" sqref="G5"/>
    </sheetView>
  </sheetViews>
  <sheetFormatPr defaultRowHeight="17.399999999999999"/>
  <cols>
    <col min="1" max="1" width="1.3984375" customWidth="1"/>
    <col min="2" max="2" width="9.796875" customWidth="1"/>
    <col min="3" max="3" width="9.5" customWidth="1"/>
    <col min="4" max="4" width="10.09765625" customWidth="1"/>
    <col min="5" max="5" width="67.3984375" customWidth="1"/>
  </cols>
  <sheetData>
    <row r="1" spans="2:7" ht="7.2" customHeight="1"/>
    <row r="2" spans="2:7" ht="21">
      <c r="B2" s="136" t="s">
        <v>122</v>
      </c>
      <c r="C2" s="136"/>
      <c r="D2" s="136"/>
      <c r="E2" s="136"/>
      <c r="F2" s="136"/>
      <c r="G2" s="136"/>
    </row>
    <row r="3" spans="2:7">
      <c r="B3" s="38" t="s">
        <v>113</v>
      </c>
      <c r="C3" s="39" t="s">
        <v>114</v>
      </c>
      <c r="D3" s="39" t="s">
        <v>115</v>
      </c>
      <c r="E3" s="40" t="s">
        <v>116</v>
      </c>
      <c r="F3" s="39" t="s">
        <v>117</v>
      </c>
      <c r="G3" s="41" t="s">
        <v>118</v>
      </c>
    </row>
    <row r="4" spans="2:7" ht="13.8" customHeight="1">
      <c r="B4" s="33" t="s">
        <v>119</v>
      </c>
      <c r="C4" s="34" t="s">
        <v>214</v>
      </c>
      <c r="D4" s="34" t="s">
        <v>120</v>
      </c>
      <c r="E4" s="35" t="s">
        <v>121</v>
      </c>
      <c r="F4" s="36" t="s">
        <v>215</v>
      </c>
      <c r="G4" s="36" t="s">
        <v>216</v>
      </c>
    </row>
    <row r="5" spans="2:7" ht="16.2" customHeight="1">
      <c r="B5" s="33"/>
      <c r="C5" s="34"/>
      <c r="D5" s="34"/>
      <c r="E5" s="37"/>
      <c r="F5" s="36"/>
      <c r="G5" s="36"/>
    </row>
    <row r="6" spans="2:7">
      <c r="B6" s="33"/>
      <c r="C6" s="34"/>
      <c r="D6" s="34"/>
      <c r="E6" s="37"/>
      <c r="F6" s="36"/>
      <c r="G6" s="36"/>
    </row>
  </sheetData>
  <mergeCells count="1">
    <mergeCell ref="B2:G2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2:V161"/>
  <sheetViews>
    <sheetView tabSelected="1" topLeftCell="B1" zoomScale="115" zoomScaleNormal="115" workbookViewId="0">
      <pane ySplit="6" topLeftCell="A46" activePane="bottomLeft" state="frozen"/>
      <selection pane="bottomLeft" activeCell="F15" sqref="F15"/>
    </sheetView>
  </sheetViews>
  <sheetFormatPr defaultRowHeight="13.2" outlineLevelRow="2"/>
  <cols>
    <col min="1" max="1" width="3.5" style="2" customWidth="1"/>
    <col min="2" max="2" width="5.8984375" style="2" customWidth="1"/>
    <col min="3" max="3" width="4.59765625" style="2" customWidth="1"/>
    <col min="4" max="4" width="34.3984375" style="4" customWidth="1"/>
    <col min="5" max="5" width="9.19921875" style="2" customWidth="1"/>
    <col min="6" max="6" width="38.69921875" style="4" customWidth="1"/>
    <col min="7" max="7" width="20.5" style="70" customWidth="1"/>
    <col min="8" max="8" width="15.8984375" style="70" customWidth="1"/>
    <col min="9" max="9" width="10.796875" style="2" customWidth="1"/>
    <col min="10" max="10" width="11.796875" style="2" customWidth="1"/>
    <col min="11" max="11" width="10.59765625" style="2" customWidth="1"/>
    <col min="12" max="12" width="10.3984375" style="2" customWidth="1"/>
    <col min="13" max="13" width="5.69921875" style="2" customWidth="1"/>
    <col min="14" max="14" width="6" style="84" customWidth="1"/>
    <col min="15" max="15" width="9.296875" style="2" customWidth="1"/>
    <col min="16" max="16" width="9.3984375" style="2" customWidth="1"/>
    <col min="17" max="17" width="5.69921875" style="2" customWidth="1"/>
    <col min="18" max="18" width="8.19921875" style="2" customWidth="1"/>
    <col min="19" max="19" width="9.296875" style="2" customWidth="1"/>
    <col min="20" max="20" width="7.3984375" style="2" customWidth="1"/>
    <col min="21" max="21" width="8.69921875" style="2" customWidth="1"/>
    <col min="22" max="22" width="6.69921875" style="2" customWidth="1"/>
    <col min="23" max="23" width="3.69921875" style="1" customWidth="1"/>
    <col min="24" max="16384" width="8.796875" style="1"/>
  </cols>
  <sheetData>
    <row r="2" spans="1:22" ht="25.2">
      <c r="A2" s="137" t="s">
        <v>212</v>
      </c>
      <c r="B2" s="137"/>
      <c r="C2" s="137"/>
      <c r="D2" s="137"/>
      <c r="E2" s="137"/>
      <c r="F2" s="137"/>
      <c r="G2" s="137"/>
      <c r="H2" s="137"/>
      <c r="I2" s="137"/>
      <c r="J2" s="137"/>
      <c r="K2" s="151" t="s">
        <v>31</v>
      </c>
      <c r="L2" s="149">
        <f ca="1">TODAY()</f>
        <v>45190</v>
      </c>
      <c r="M2" s="150" t="s">
        <v>105</v>
      </c>
      <c r="N2" s="150"/>
      <c r="O2" s="142" t="s">
        <v>208</v>
      </c>
      <c r="P2" s="143"/>
      <c r="Q2" s="142" t="s">
        <v>209</v>
      </c>
      <c r="R2" s="143"/>
      <c r="S2" s="146" t="s">
        <v>210</v>
      </c>
      <c r="T2" s="146"/>
      <c r="U2" s="138" t="s">
        <v>211</v>
      </c>
      <c r="V2" s="139"/>
    </row>
    <row r="3" spans="1:22" ht="15.6">
      <c r="A3" s="152" t="s">
        <v>213</v>
      </c>
      <c r="B3" s="152"/>
      <c r="C3" s="152"/>
      <c r="D3" s="152"/>
      <c r="E3" s="152"/>
      <c r="F3" s="152"/>
      <c r="G3" s="152"/>
      <c r="H3" s="152"/>
      <c r="I3" s="152"/>
      <c r="J3" s="152"/>
      <c r="K3" s="151"/>
      <c r="L3" s="149"/>
      <c r="M3" s="150"/>
      <c r="N3" s="150"/>
      <c r="O3" s="144">
        <v>45135</v>
      </c>
      <c r="P3" s="145"/>
      <c r="Q3" s="144">
        <v>45350</v>
      </c>
      <c r="R3" s="145"/>
      <c r="S3" s="147">
        <f>NETWORKDAYS.INTL(O3,Q3,1,기초데이터_삭제불가!B3:B16)</f>
        <v>146</v>
      </c>
      <c r="T3" s="148"/>
      <c r="U3" s="140">
        <f>S3/20.8</f>
        <v>7.0192307692307692</v>
      </c>
      <c r="V3" s="141"/>
    </row>
    <row r="4" spans="1:22">
      <c r="A4" s="155" t="s">
        <v>106</v>
      </c>
      <c r="B4" s="161" t="s">
        <v>36</v>
      </c>
      <c r="C4" s="163"/>
      <c r="D4" s="164" t="s">
        <v>12</v>
      </c>
      <c r="E4" s="161"/>
      <c r="F4" s="164" t="s">
        <v>3</v>
      </c>
      <c r="G4" s="161" t="s">
        <v>11</v>
      </c>
      <c r="H4" s="161" t="s">
        <v>201</v>
      </c>
      <c r="I4" s="162" t="s">
        <v>4</v>
      </c>
      <c r="J4" s="161" t="s">
        <v>6</v>
      </c>
      <c r="K4" s="161" t="s">
        <v>2</v>
      </c>
      <c r="L4" s="161"/>
      <c r="M4" s="161"/>
      <c r="N4" s="161"/>
      <c r="O4" s="161" t="s">
        <v>104</v>
      </c>
      <c r="P4" s="161"/>
      <c r="Q4" s="161"/>
      <c r="R4" s="153" t="s">
        <v>112</v>
      </c>
      <c r="S4" s="154"/>
      <c r="T4" s="154"/>
      <c r="U4" s="155"/>
      <c r="V4" s="153" t="s">
        <v>5</v>
      </c>
    </row>
    <row r="5" spans="1:22">
      <c r="A5" s="155"/>
      <c r="B5" s="161"/>
      <c r="C5" s="163"/>
      <c r="D5" s="164"/>
      <c r="E5" s="161"/>
      <c r="F5" s="164"/>
      <c r="G5" s="161"/>
      <c r="H5" s="161"/>
      <c r="I5" s="162"/>
      <c r="J5" s="161"/>
      <c r="K5" s="32" t="s">
        <v>32</v>
      </c>
      <c r="L5" s="32" t="s">
        <v>33</v>
      </c>
      <c r="M5" s="32" t="s">
        <v>127</v>
      </c>
      <c r="N5" s="83" t="s">
        <v>111</v>
      </c>
      <c r="O5" s="32" t="s">
        <v>32</v>
      </c>
      <c r="P5" s="32" t="s">
        <v>33</v>
      </c>
      <c r="Q5" s="32" t="s">
        <v>127</v>
      </c>
      <c r="R5" s="158" t="s">
        <v>126</v>
      </c>
      <c r="S5" s="159"/>
      <c r="T5" s="156" t="s">
        <v>104</v>
      </c>
      <c r="U5" s="157"/>
      <c r="V5" s="153"/>
    </row>
    <row r="6" spans="1:22" ht="15.6">
      <c r="A6" s="27">
        <v>0</v>
      </c>
      <c r="B6" s="160" t="s">
        <v>125</v>
      </c>
      <c r="C6" s="160"/>
      <c r="D6" s="160"/>
      <c r="E6" s="85" t="e">
        <f>U6</f>
        <v>#REF!</v>
      </c>
      <c r="H6" s="86" t="s">
        <v>222</v>
      </c>
      <c r="K6" s="92">
        <v>44200</v>
      </c>
      <c r="L6" s="92">
        <v>44445</v>
      </c>
      <c r="M6" s="93">
        <f>M7+M11+M21+M81+M105+M115+M121</f>
        <v>281</v>
      </c>
      <c r="N6" s="94">
        <f>N7+N11+N21+N81+N105+N115+N121+N131+N141</f>
        <v>1.0498220640569396</v>
      </c>
      <c r="O6" s="92">
        <v>44172</v>
      </c>
      <c r="P6" s="92">
        <v>44261</v>
      </c>
      <c r="Q6" s="93" t="e">
        <f>SUM(Q7,Q11,Q21,Q81,Q105,Q115,Q121)</f>
        <v>#REF!</v>
      </c>
      <c r="R6" s="95" t="e">
        <f ca="1">AVERAGE(R7,R11,R21,R81,R105,R115,R121)</f>
        <v>#REF!</v>
      </c>
      <c r="S6" s="95" t="e">
        <f ca="1">SUM(S7,S11,S21,S81,S105,S115,S121)</f>
        <v>#REF!</v>
      </c>
      <c r="T6" s="95" t="e">
        <f>AVERAGE(T7,T11,T21,T81,T105,T115,T121)</f>
        <v>#REF!</v>
      </c>
      <c r="U6" s="96" t="e">
        <f>SUM(U7,U11,U21,U81,U105,U115,U121)</f>
        <v>#REF!</v>
      </c>
      <c r="V6" s="97" t="s">
        <v>203</v>
      </c>
    </row>
    <row r="7" spans="1:22" ht="25.95" customHeight="1">
      <c r="A7" s="11">
        <v>1</v>
      </c>
      <c r="B7" s="11" t="s">
        <v>124</v>
      </c>
      <c r="C7" s="11"/>
      <c r="D7" s="12"/>
      <c r="E7" s="11"/>
      <c r="F7" s="12"/>
      <c r="G7" s="74"/>
      <c r="H7" s="81" t="s">
        <v>206</v>
      </c>
      <c r="I7" s="11"/>
      <c r="J7" s="11"/>
      <c r="K7" s="87">
        <f>MIN(K8:K10)</f>
        <v>45139</v>
      </c>
      <c r="L7" s="87">
        <f>MAX(L8:L10)</f>
        <v>45152</v>
      </c>
      <c r="M7" s="88">
        <f>SUM(M8:M10)</f>
        <v>4</v>
      </c>
      <c r="N7" s="89">
        <f>M7/$M$6</f>
        <v>1.4234875444839857E-2</v>
      </c>
      <c r="O7" s="87">
        <f>MIN(O8:O10)</f>
        <v>45139</v>
      </c>
      <c r="P7" s="87">
        <f>MAX(P8:P10)</f>
        <v>45154</v>
      </c>
      <c r="Q7" s="88">
        <f>SUM(Q8:Q10)</f>
        <v>6</v>
      </c>
      <c r="R7" s="90">
        <f ca="1">AVERAGE(R8:R10)</f>
        <v>1</v>
      </c>
      <c r="S7" s="90">
        <f ca="1">N7*R7</f>
        <v>1.4234875444839857E-2</v>
      </c>
      <c r="T7" s="90">
        <f>AVERAGE(T8:T10)</f>
        <v>1</v>
      </c>
      <c r="U7" s="90">
        <f>N7*T7</f>
        <v>1.4234875444839857E-2</v>
      </c>
      <c r="V7" s="91" t="str">
        <f ca="1">IF(T7=R7,"완료",IF(T7&lt;R7,"지연","초과"))</f>
        <v>완료</v>
      </c>
    </row>
    <row r="8" spans="1:22" outlineLevel="1">
      <c r="A8" s="2">
        <v>1</v>
      </c>
      <c r="B8" s="2" t="s">
        <v>13</v>
      </c>
      <c r="C8" s="2">
        <v>1.1000000000000001</v>
      </c>
      <c r="D8" s="6" t="s">
        <v>158</v>
      </c>
      <c r="E8" s="2" t="s">
        <v>197</v>
      </c>
      <c r="F8" s="6" t="s">
        <v>159</v>
      </c>
      <c r="H8" s="63"/>
      <c r="I8" s="2" t="s">
        <v>139</v>
      </c>
      <c r="J8" s="2" t="s">
        <v>229</v>
      </c>
      <c r="K8" s="98">
        <v>45139</v>
      </c>
      <c r="L8" s="98">
        <v>45139</v>
      </c>
      <c r="M8" s="97">
        <f>NETWORKDAYS.INTL(K8,L8,1,기초데이터_삭제불가!$B$3:$B$16)</f>
        <v>1</v>
      </c>
      <c r="N8" s="99">
        <f t="shared" ref="N8:N10" si="0">M8/$M$7</f>
        <v>0.25</v>
      </c>
      <c r="O8" s="98">
        <v>45139</v>
      </c>
      <c r="P8" s="98">
        <v>45139</v>
      </c>
      <c r="Q8" s="97">
        <f>NETWORKDAYS.INTL(O8,P8,1,기초데이터_삭제불가!$B$3:$B$16)</f>
        <v>1</v>
      </c>
      <c r="R8" s="100">
        <f t="shared" ref="R8:R10" ca="1" si="1">IF($L$2&gt;=L8,1,IF($L$2&lt;K8,0,(($L$2-K8)+1)/(M8)))</f>
        <v>1</v>
      </c>
      <c r="S8" s="101">
        <f ca="1">R8*N8</f>
        <v>0.25</v>
      </c>
      <c r="T8" s="100">
        <v>1</v>
      </c>
      <c r="U8" s="101">
        <f t="shared" ref="U8:U10" si="2">N8*T8</f>
        <v>0.25</v>
      </c>
      <c r="V8" s="102" t="str">
        <f ca="1">IF(T8=R8,"완료",IF(T8&lt;R8,"지연","초과"))</f>
        <v>완료</v>
      </c>
    </row>
    <row r="9" spans="1:22" outlineLevel="1">
      <c r="A9" s="2">
        <v>1</v>
      </c>
      <c r="B9" s="2" t="s">
        <v>13</v>
      </c>
      <c r="C9" s="2">
        <v>1.1000000000000001</v>
      </c>
      <c r="D9" s="6" t="s">
        <v>258</v>
      </c>
      <c r="E9" s="2" t="s">
        <v>235</v>
      </c>
      <c r="F9" s="6" t="s">
        <v>220</v>
      </c>
      <c r="G9" s="70" t="s">
        <v>221</v>
      </c>
      <c r="H9" s="63"/>
      <c r="I9" s="2" t="s">
        <v>269</v>
      </c>
      <c r="J9" s="2" t="s">
        <v>230</v>
      </c>
      <c r="K9" s="98">
        <v>45149</v>
      </c>
      <c r="L9" s="98">
        <v>45152</v>
      </c>
      <c r="M9" s="97">
        <f>NETWORKDAYS.INTL(K9,L9,1,기초데이터_삭제불가!$B$3:$B$16)</f>
        <v>2</v>
      </c>
      <c r="N9" s="99">
        <f t="shared" ref="N9" si="3">M9/$M$7</f>
        <v>0.5</v>
      </c>
      <c r="O9" s="98">
        <v>45149</v>
      </c>
      <c r="P9" s="98">
        <v>45154</v>
      </c>
      <c r="Q9" s="97">
        <f>NETWORKDAYS.INTL(O9,P9,1,기초데이터_삭제불가!$B$3:$B$16)</f>
        <v>4</v>
      </c>
      <c r="R9" s="100">
        <f t="shared" ca="1" si="1"/>
        <v>1</v>
      </c>
      <c r="S9" s="101">
        <f t="shared" ref="S9" ca="1" si="4">R9*N9</f>
        <v>0.5</v>
      </c>
      <c r="T9" s="100">
        <v>1</v>
      </c>
      <c r="U9" s="101">
        <f t="shared" ref="U9" si="5">N9*T9</f>
        <v>0.5</v>
      </c>
      <c r="V9" s="102" t="str">
        <f t="shared" ref="V9:V10" ca="1" si="6">IF(T9=R9,"완료",IF(T9&lt;R9,"지연","초과"))</f>
        <v>완료</v>
      </c>
    </row>
    <row r="10" spans="1:22" outlineLevel="1">
      <c r="A10" s="2">
        <v>1</v>
      </c>
      <c r="B10" s="2" t="s">
        <v>13</v>
      </c>
      <c r="C10" s="2">
        <v>1.1000000000000001</v>
      </c>
      <c r="D10" s="4" t="s">
        <v>223</v>
      </c>
      <c r="E10" s="2" t="s">
        <v>93</v>
      </c>
      <c r="F10" s="58" t="s">
        <v>160</v>
      </c>
      <c r="H10" s="63"/>
      <c r="I10" s="2" t="s">
        <v>128</v>
      </c>
      <c r="J10" s="2" t="s">
        <v>230</v>
      </c>
      <c r="K10" s="98">
        <v>45148</v>
      </c>
      <c r="L10" s="98">
        <v>45148</v>
      </c>
      <c r="M10" s="97">
        <f>NETWORKDAYS.INTL(K10,L10,1,기초데이터_삭제불가!$B$3:$B$16)</f>
        <v>1</v>
      </c>
      <c r="N10" s="99">
        <f t="shared" si="0"/>
        <v>0.25</v>
      </c>
      <c r="O10" s="98">
        <v>45148</v>
      </c>
      <c r="P10" s="98">
        <v>45148</v>
      </c>
      <c r="Q10" s="97">
        <f>NETWORKDAYS.INTL(O10,P10,1,기초데이터_삭제불가!$B$3:$B$16)</f>
        <v>1</v>
      </c>
      <c r="R10" s="100">
        <f t="shared" ca="1" si="1"/>
        <v>1</v>
      </c>
      <c r="S10" s="101">
        <f t="shared" ref="S10" ca="1" si="7">R10*N10</f>
        <v>0.25</v>
      </c>
      <c r="T10" s="100">
        <v>1</v>
      </c>
      <c r="U10" s="101">
        <f t="shared" si="2"/>
        <v>0.25</v>
      </c>
      <c r="V10" s="102" t="str">
        <f t="shared" ca="1" si="6"/>
        <v>완료</v>
      </c>
    </row>
    <row r="11" spans="1:22" s="79" customFormat="1" ht="25.95" customHeight="1">
      <c r="A11" s="11">
        <v>2</v>
      </c>
      <c r="B11" s="11" t="s">
        <v>0</v>
      </c>
      <c r="C11" s="11"/>
      <c r="D11" s="12"/>
      <c r="E11" s="11"/>
      <c r="F11" s="12"/>
      <c r="G11" s="74"/>
      <c r="H11" s="80"/>
      <c r="I11" s="11"/>
      <c r="J11" s="11"/>
      <c r="K11" s="87">
        <f>MIN(K12,F12)</f>
        <v>45142</v>
      </c>
      <c r="L11" s="87">
        <f>MIN(L12,G12)</f>
        <v>45170</v>
      </c>
      <c r="M11" s="88">
        <f>SUM(M12,M18)</f>
        <v>32</v>
      </c>
      <c r="N11" s="89">
        <f>M11/$M$6</f>
        <v>0.11387900355871886</v>
      </c>
      <c r="O11" s="87">
        <f>MIN(O12:O14)</f>
        <v>45142</v>
      </c>
      <c r="P11" s="87">
        <f>MAX(P12:P20)</f>
        <v>45170</v>
      </c>
      <c r="Q11" s="88">
        <f>Q12+Q18</f>
        <v>32</v>
      </c>
      <c r="R11" s="90">
        <f ca="1">AVERAGE(R12,R18)</f>
        <v>1</v>
      </c>
      <c r="S11" s="90">
        <f ca="1">N11*R11</f>
        <v>0.11387900355871886</v>
      </c>
      <c r="T11" s="90">
        <f>AVERAGE(T12,T18)</f>
        <v>1</v>
      </c>
      <c r="U11" s="90">
        <f t="shared" ref="U11:U17" si="8">N11*T11</f>
        <v>0.11387900355871886</v>
      </c>
      <c r="V11" s="91" t="str">
        <f ca="1">IF(T11=R11,"완료",IF(T11&lt;R11,"지연","초과"))</f>
        <v>완료</v>
      </c>
    </row>
    <row r="12" spans="1:22" outlineLevel="1">
      <c r="A12" s="43">
        <v>2</v>
      </c>
      <c r="B12" s="46" t="s">
        <v>0</v>
      </c>
      <c r="C12" s="46">
        <v>2.1</v>
      </c>
      <c r="D12" s="42" t="s">
        <v>260</v>
      </c>
      <c r="E12" s="43"/>
      <c r="F12" s="44"/>
      <c r="G12" s="64"/>
      <c r="H12" s="64"/>
      <c r="I12" s="43" t="s">
        <v>267</v>
      </c>
      <c r="J12" s="43"/>
      <c r="K12" s="104">
        <f>MIN(K13:K17)</f>
        <v>45142</v>
      </c>
      <c r="L12" s="104">
        <f>MAX(L13:L17)</f>
        <v>45170</v>
      </c>
      <c r="M12" s="105">
        <f>SUM(M13:M17)</f>
        <v>22</v>
      </c>
      <c r="N12" s="106">
        <f t="shared" ref="N12" si="9">M12/$M$11</f>
        <v>0.6875</v>
      </c>
      <c r="O12" s="104">
        <f>MIN(O13:O17)</f>
        <v>45142</v>
      </c>
      <c r="P12" s="104">
        <f>MAX(P13:P17)</f>
        <v>45170</v>
      </c>
      <c r="Q12" s="105">
        <f>SUM(Q13:Q17)</f>
        <v>22</v>
      </c>
      <c r="R12" s="107">
        <f ca="1">SUMPRODUCT(N13:N17,R13:R17)</f>
        <v>1</v>
      </c>
      <c r="S12" s="107">
        <f ca="1">R12*N12</f>
        <v>0.6875</v>
      </c>
      <c r="T12" s="107">
        <f>AVERAGE(T13:T17)</f>
        <v>1</v>
      </c>
      <c r="U12" s="107">
        <f t="shared" si="8"/>
        <v>0.6875</v>
      </c>
      <c r="V12" s="108" t="str">
        <f ca="1">IF(T12=R12,"완료",IF(T12&lt;R12,"지연","초과"))</f>
        <v>완료</v>
      </c>
    </row>
    <row r="13" spans="1:22" outlineLevel="2">
      <c r="A13" s="2">
        <v>2</v>
      </c>
      <c r="B13" s="2" t="s">
        <v>0</v>
      </c>
      <c r="C13" s="13">
        <v>2.1</v>
      </c>
      <c r="D13" s="4" t="s">
        <v>148</v>
      </c>
      <c r="E13" s="2" t="s">
        <v>18</v>
      </c>
      <c r="F13" s="4" t="s">
        <v>232</v>
      </c>
      <c r="G13" s="70" t="s">
        <v>141</v>
      </c>
      <c r="H13" s="63"/>
      <c r="I13" s="2" t="s">
        <v>128</v>
      </c>
      <c r="J13" s="2" t="s">
        <v>230</v>
      </c>
      <c r="K13" s="98">
        <v>45142</v>
      </c>
      <c r="L13" s="98">
        <v>45149</v>
      </c>
      <c r="M13" s="97">
        <f>NETWORKDAYS.INTL(K13,L13,1,기초데이터_삭제불가!$B$3:$B$16)</f>
        <v>6</v>
      </c>
      <c r="N13" s="99">
        <f t="shared" ref="N13:N14" si="10">M13/$M$12</f>
        <v>0.27272727272727271</v>
      </c>
      <c r="O13" s="98">
        <v>45142</v>
      </c>
      <c r="P13" s="98">
        <v>45149</v>
      </c>
      <c r="Q13" s="97">
        <f>NETWORKDAYS.INTL(O13,P13,1,기초데이터_삭제불가!$B$3:$B$16)</f>
        <v>6</v>
      </c>
      <c r="R13" s="100">
        <f t="shared" ref="R13:R14" ca="1" si="11">IF($L$2&gt;=L13,1,IF($L$2&lt;K13,0,(($L$2-K13)+1)/(M13)))</f>
        <v>1</v>
      </c>
      <c r="S13" s="101">
        <f t="shared" ref="S13:S17" ca="1" si="12">R13*N13</f>
        <v>0.27272727272727271</v>
      </c>
      <c r="T13" s="100">
        <v>1</v>
      </c>
      <c r="U13" s="101">
        <f t="shared" si="8"/>
        <v>0.27272727272727271</v>
      </c>
      <c r="V13" s="102" t="str">
        <f ca="1">IF(T13=R13,"완료",IF(T13&lt;R13,"지연","초과"))</f>
        <v>완료</v>
      </c>
    </row>
    <row r="14" spans="1:22" outlineLevel="2">
      <c r="A14" s="2">
        <v>2</v>
      </c>
      <c r="B14" s="2" t="s">
        <v>0</v>
      </c>
      <c r="C14" s="13">
        <v>2.1</v>
      </c>
      <c r="D14" s="4" t="s">
        <v>149</v>
      </c>
      <c r="E14" s="2" t="s">
        <v>19</v>
      </c>
      <c r="F14" s="4" t="s">
        <v>233</v>
      </c>
      <c r="G14" s="70" t="s">
        <v>16</v>
      </c>
      <c r="H14" s="63"/>
      <c r="I14" s="2" t="s">
        <v>128</v>
      </c>
      <c r="J14" s="2" t="s">
        <v>230</v>
      </c>
      <c r="K14" s="98">
        <v>45152</v>
      </c>
      <c r="L14" s="98">
        <v>45156</v>
      </c>
      <c r="M14" s="97">
        <f>NETWORKDAYS.INTL(K14,L14,1,기초데이터_삭제불가!$B$3:$B$16)</f>
        <v>5</v>
      </c>
      <c r="N14" s="99">
        <f t="shared" si="10"/>
        <v>0.22727272727272727</v>
      </c>
      <c r="O14" s="98">
        <v>45152</v>
      </c>
      <c r="P14" s="98">
        <v>45156</v>
      </c>
      <c r="Q14" s="97">
        <f>NETWORKDAYS.INTL(O14,P14,1,기초데이터_삭제불가!$B$3:$B$16)</f>
        <v>5</v>
      </c>
      <c r="R14" s="100">
        <f t="shared" ca="1" si="11"/>
        <v>1</v>
      </c>
      <c r="S14" s="101">
        <f t="shared" ca="1" si="12"/>
        <v>0.22727272727272727</v>
      </c>
      <c r="T14" s="100">
        <v>1</v>
      </c>
      <c r="U14" s="101">
        <f t="shared" si="8"/>
        <v>0.22727272727272727</v>
      </c>
      <c r="V14" s="102" t="str">
        <f ca="1">IF(T14=R14,"완료",IF(T14&lt;R14,"지연","초과"))</f>
        <v>완료</v>
      </c>
    </row>
    <row r="15" spans="1:22" outlineLevel="2">
      <c r="A15" s="2">
        <v>2</v>
      </c>
      <c r="B15" s="2" t="s">
        <v>0</v>
      </c>
      <c r="C15" s="13">
        <v>2.1</v>
      </c>
      <c r="D15" s="4" t="s">
        <v>149</v>
      </c>
      <c r="E15" s="2" t="s">
        <v>20</v>
      </c>
      <c r="F15" s="4" t="s">
        <v>234</v>
      </c>
      <c r="G15" s="70" t="s">
        <v>16</v>
      </c>
      <c r="H15" s="63"/>
      <c r="I15" s="2" t="s">
        <v>268</v>
      </c>
      <c r="J15" s="2" t="s">
        <v>230</v>
      </c>
      <c r="K15" s="98">
        <v>45159</v>
      </c>
      <c r="L15" s="98">
        <v>45163</v>
      </c>
      <c r="M15" s="97">
        <f>NETWORKDAYS.INTL(K15,L15,1,기초데이터_삭제불가!$B$3:$B$16)</f>
        <v>5</v>
      </c>
      <c r="N15" s="99">
        <f t="shared" ref="N15" si="13">M15/$M$12</f>
        <v>0.22727272727272727</v>
      </c>
      <c r="O15" s="98">
        <v>45159</v>
      </c>
      <c r="P15" s="98">
        <v>45163</v>
      </c>
      <c r="Q15" s="97">
        <f>NETWORKDAYS.INTL(O15,P15,1,기초데이터_삭제불가!$B$3:$B$16)</f>
        <v>5</v>
      </c>
      <c r="R15" s="100">
        <f t="shared" ref="R15" ca="1" si="14">IF($L$2&gt;=L15,1,IF($L$2&lt;K15,0,(($L$2-K15)+1)/(M15)))</f>
        <v>1</v>
      </c>
      <c r="S15" s="101">
        <f t="shared" ref="S15" ca="1" si="15">R15*N15</f>
        <v>0.22727272727272727</v>
      </c>
      <c r="T15" s="100">
        <v>1</v>
      </c>
      <c r="U15" s="101">
        <f t="shared" si="8"/>
        <v>0.22727272727272727</v>
      </c>
      <c r="V15" s="102" t="str">
        <f t="shared" ref="V15:V20" ca="1" si="16">IF(T15=R15,"완료",IF(T15&lt;R15,"지연","초과"))</f>
        <v>완료</v>
      </c>
    </row>
    <row r="16" spans="1:22" outlineLevel="2">
      <c r="A16" s="2">
        <v>2</v>
      </c>
      <c r="B16" s="2" t="s">
        <v>0</v>
      </c>
      <c r="C16" s="13">
        <v>2.1</v>
      </c>
      <c r="D16" s="4" t="s">
        <v>261</v>
      </c>
      <c r="E16" s="2" t="s">
        <v>263</v>
      </c>
      <c r="F16" s="4" t="s">
        <v>262</v>
      </c>
      <c r="G16" s="70" t="s">
        <v>264</v>
      </c>
      <c r="H16" s="63"/>
      <c r="I16" s="2" t="s">
        <v>268</v>
      </c>
      <c r="J16" s="2" t="s">
        <v>215</v>
      </c>
      <c r="K16" s="98">
        <v>45166</v>
      </c>
      <c r="L16" s="98">
        <v>45169</v>
      </c>
      <c r="M16" s="97">
        <f>NETWORKDAYS.INTL(K16,L16,1,기초데이터_삭제불가!$B$3:$B$16)</f>
        <v>4</v>
      </c>
      <c r="N16" s="99">
        <f t="shared" ref="N16" si="17">M16/$M$12</f>
        <v>0.18181818181818182</v>
      </c>
      <c r="O16" s="98">
        <v>45166</v>
      </c>
      <c r="P16" s="98">
        <v>45169</v>
      </c>
      <c r="Q16" s="97">
        <f>NETWORKDAYS.INTL(O16,P16,1,기초데이터_삭제불가!$B$3:$B$16)</f>
        <v>4</v>
      </c>
      <c r="R16" s="100">
        <f t="shared" ref="R16" ca="1" si="18">IF($L$2&gt;=L16,1,IF($L$2&lt;K16,0,(($L$2-K16)+1)/(M16)))</f>
        <v>1</v>
      </c>
      <c r="S16" s="101">
        <f t="shared" ref="S16" ca="1" si="19">R16*N16</f>
        <v>0.18181818181818182</v>
      </c>
      <c r="T16" s="100">
        <v>1</v>
      </c>
      <c r="U16" s="101">
        <f t="shared" ref="U16" si="20">N16*T16</f>
        <v>0.18181818181818182</v>
      </c>
      <c r="V16" s="102" t="str">
        <f t="shared" ref="V16" ca="1" si="21">IF(T16=R16,"완료",IF(T16&lt;R16,"지연","초과"))</f>
        <v>완료</v>
      </c>
    </row>
    <row r="17" spans="1:22" outlineLevel="2">
      <c r="A17" s="2">
        <v>2</v>
      </c>
      <c r="B17" s="2" t="s">
        <v>0</v>
      </c>
      <c r="C17" s="2">
        <v>2.1</v>
      </c>
      <c r="D17" s="4" t="s">
        <v>265</v>
      </c>
      <c r="E17" s="2" t="s">
        <v>21</v>
      </c>
      <c r="F17" s="60" t="s">
        <v>294</v>
      </c>
      <c r="G17" s="70" t="s">
        <v>266</v>
      </c>
      <c r="I17" s="2" t="s">
        <v>207</v>
      </c>
      <c r="J17" s="2" t="s">
        <v>231</v>
      </c>
      <c r="K17" s="98">
        <v>45169</v>
      </c>
      <c r="L17" s="98">
        <v>45170</v>
      </c>
      <c r="M17" s="97">
        <f>NETWORKDAYS.INTL(K17,L17,1,기초데이터_삭제불가!$B$3:$B$16)</f>
        <v>2</v>
      </c>
      <c r="N17" s="99">
        <f t="shared" ref="N17" si="22">M17/$M$12</f>
        <v>9.0909090909090912E-2</v>
      </c>
      <c r="O17" s="98">
        <v>45169</v>
      </c>
      <c r="P17" s="98">
        <v>45170</v>
      </c>
      <c r="Q17" s="97">
        <f>NETWORKDAYS.INTL(O17,P17,1,기초데이터_삭제불가!$B$3:$B$16)</f>
        <v>2</v>
      </c>
      <c r="R17" s="100">
        <f t="shared" ref="R17" ca="1" si="23">IF($L$2&gt;=L17,1,IF($L$2&lt;K17,0,(($L$2-K17)+1)/(M17)))</f>
        <v>1</v>
      </c>
      <c r="S17" s="101">
        <f t="shared" ca="1" si="12"/>
        <v>9.0909090909090912E-2</v>
      </c>
      <c r="T17" s="100">
        <v>1</v>
      </c>
      <c r="U17" s="101">
        <f t="shared" si="8"/>
        <v>9.0909090909090912E-2</v>
      </c>
      <c r="V17" s="102" t="str">
        <f t="shared" ca="1" si="16"/>
        <v>완료</v>
      </c>
    </row>
    <row r="18" spans="1:22" outlineLevel="1">
      <c r="A18" s="43">
        <v>2</v>
      </c>
      <c r="B18" s="46" t="s">
        <v>0</v>
      </c>
      <c r="C18" s="48">
        <v>2.2000000000000002</v>
      </c>
      <c r="D18" s="42" t="s">
        <v>150</v>
      </c>
      <c r="E18" s="43"/>
      <c r="F18" s="47"/>
      <c r="G18" s="71"/>
      <c r="H18" s="71"/>
      <c r="I18" s="50" t="s">
        <v>202</v>
      </c>
      <c r="J18" s="43"/>
      <c r="K18" s="104">
        <f>MIN(K20:K20)</f>
        <v>45159</v>
      </c>
      <c r="L18" s="104">
        <f>MAX(L20:L20)</f>
        <v>45163</v>
      </c>
      <c r="M18" s="105">
        <f>SUM(M19:M20)</f>
        <v>10</v>
      </c>
      <c r="N18" s="106">
        <f t="shared" ref="N18" si="24">M18/$M$11</f>
        <v>0.3125</v>
      </c>
      <c r="O18" s="104">
        <f>MIN(O19:O20)</f>
        <v>45152</v>
      </c>
      <c r="P18" s="104">
        <f>MAX(P20:P20)</f>
        <v>45163</v>
      </c>
      <c r="Q18" s="105">
        <f>SUM(Q19:Q20)</f>
        <v>10</v>
      </c>
      <c r="R18" s="107">
        <f ca="1">SUMPRODUCT(N19:N20,R19:R20)</f>
        <v>1</v>
      </c>
      <c r="S18" s="107">
        <f ca="1">R18*N18</f>
        <v>0.3125</v>
      </c>
      <c r="T18" s="107">
        <f>AVERAGE(T20:T20)</f>
        <v>1</v>
      </c>
      <c r="U18" s="107">
        <f>N18*T18</f>
        <v>0.3125</v>
      </c>
      <c r="V18" s="108" t="str">
        <f ca="1">IF(T18=R18,"완료",IF(T18&lt;R18,"지연","초과"))</f>
        <v>완료</v>
      </c>
    </row>
    <row r="19" spans="1:22" outlineLevel="2">
      <c r="A19" s="2">
        <v>2</v>
      </c>
      <c r="B19" s="2" t="s">
        <v>0</v>
      </c>
      <c r="C19" s="13">
        <v>2.2000000000000002</v>
      </c>
      <c r="D19" s="4" t="s">
        <v>151</v>
      </c>
      <c r="E19" s="2" t="s">
        <v>152</v>
      </c>
      <c r="F19" s="58" t="s">
        <v>423</v>
      </c>
      <c r="G19" s="70" t="s">
        <v>16</v>
      </c>
      <c r="H19" s="63"/>
      <c r="I19" s="2" t="s">
        <v>202</v>
      </c>
      <c r="J19" s="2" t="s">
        <v>236</v>
      </c>
      <c r="K19" s="98">
        <v>45152</v>
      </c>
      <c r="L19" s="98">
        <v>45156</v>
      </c>
      <c r="M19" s="97">
        <f>NETWORKDAYS.INTL(K19,L19,1,기초데이터_삭제불가!$B$3:$B$16)</f>
        <v>5</v>
      </c>
      <c r="N19" s="99">
        <f>M19/$M$18</f>
        <v>0.5</v>
      </c>
      <c r="O19" s="98">
        <v>45152</v>
      </c>
      <c r="P19" s="98">
        <v>45156</v>
      </c>
      <c r="Q19" s="97">
        <f>NETWORKDAYS.INTL(O19,P19,1,기초데이터_삭제불가!$B$3:$B$16)</f>
        <v>5</v>
      </c>
      <c r="R19" s="100">
        <f t="shared" ref="R19:R20" ca="1" si="25">IF($L$2&gt;=L19,1,IF($L$2&lt;K19,0,(($L$2-K19)+1)/(M19)))</f>
        <v>1</v>
      </c>
      <c r="S19" s="101">
        <f t="shared" ref="S19:S20" ca="1" si="26">R19*N19</f>
        <v>0.5</v>
      </c>
      <c r="T19" s="100">
        <v>1</v>
      </c>
      <c r="U19" s="101">
        <f>N19*T19</f>
        <v>0.5</v>
      </c>
      <c r="V19" s="102" t="str">
        <f t="shared" ca="1" si="16"/>
        <v>완료</v>
      </c>
    </row>
    <row r="20" spans="1:22" outlineLevel="2">
      <c r="A20" s="2">
        <v>2</v>
      </c>
      <c r="B20" s="2" t="s">
        <v>0</v>
      </c>
      <c r="C20" s="13">
        <v>2.2000000000000002</v>
      </c>
      <c r="D20" s="4" t="s">
        <v>151</v>
      </c>
      <c r="E20" s="2" t="s">
        <v>147</v>
      </c>
      <c r="F20" s="4" t="s">
        <v>153</v>
      </c>
      <c r="G20" s="70" t="s">
        <v>154</v>
      </c>
      <c r="H20" s="63"/>
      <c r="I20" s="2" t="s">
        <v>202</v>
      </c>
      <c r="J20" s="2" t="s">
        <v>236</v>
      </c>
      <c r="K20" s="98">
        <v>45159</v>
      </c>
      <c r="L20" s="98">
        <v>45163</v>
      </c>
      <c r="M20" s="97">
        <f>NETWORKDAYS.INTL(K20,L20,1,기초데이터_삭제불가!$B$3:$B$16)</f>
        <v>5</v>
      </c>
      <c r="N20" s="99">
        <f>M20/$M$18</f>
        <v>0.5</v>
      </c>
      <c r="O20" s="98">
        <v>45159</v>
      </c>
      <c r="P20" s="98">
        <v>45163</v>
      </c>
      <c r="Q20" s="97">
        <f>NETWORKDAYS.INTL(O20,P20,1,기초데이터_삭제불가!$B$3:$B$16)</f>
        <v>5</v>
      </c>
      <c r="R20" s="100">
        <f t="shared" ca="1" si="25"/>
        <v>1</v>
      </c>
      <c r="S20" s="101">
        <f t="shared" ca="1" si="26"/>
        <v>0.5</v>
      </c>
      <c r="T20" s="100">
        <v>1</v>
      </c>
      <c r="U20" s="101">
        <f>N20*T20</f>
        <v>0.5</v>
      </c>
      <c r="V20" s="102" t="str">
        <f t="shared" ca="1" si="16"/>
        <v>완료</v>
      </c>
    </row>
    <row r="21" spans="1:22" ht="25.95" customHeight="1">
      <c r="A21" s="3">
        <v>3</v>
      </c>
      <c r="B21" s="3" t="s">
        <v>14</v>
      </c>
      <c r="C21" s="3"/>
      <c r="D21" s="5"/>
      <c r="E21" s="3"/>
      <c r="F21" s="5"/>
      <c r="G21" s="77"/>
      <c r="H21" s="65"/>
      <c r="I21" s="3"/>
      <c r="J21" s="3"/>
      <c r="K21" s="109">
        <f>MIN(K23:K67)</f>
        <v>45163</v>
      </c>
      <c r="L21" s="109">
        <f>MAX(L23:L80)</f>
        <v>45239</v>
      </c>
      <c r="M21" s="88">
        <f>SUM(M22,M25,M28,M33,M51,M35,M46,M56,M59,M65,M68,M78)</f>
        <v>140</v>
      </c>
      <c r="N21" s="89">
        <f>M21/$M$6</f>
        <v>0.49822064056939502</v>
      </c>
      <c r="O21" s="109">
        <f>MIN(O23:O34)</f>
        <v>45163</v>
      </c>
      <c r="P21" s="109">
        <f>MAX(P23:P36)</f>
        <v>45189</v>
      </c>
      <c r="Q21" s="88">
        <f>SUM(Q22,Q25,Q28,Q33,Q51,Q35,Q46,Q56,Q59,Q65,Q68,Q78)</f>
        <v>33</v>
      </c>
      <c r="R21" s="111">
        <f ca="1">AVERAGE(R22,R35,R25,R28,R33,R46,R51,R56,R59,R65,R78)</f>
        <v>0.34529505582137165</v>
      </c>
      <c r="S21" s="111">
        <f ca="1">N21*R21</f>
        <v>0.17203312389676881</v>
      </c>
      <c r="T21" s="111">
        <f>AVERAGE(T22,T35,T25,T28,T33,T46,T51,T56,T59,T65,T78)</f>
        <v>0.31931818181818183</v>
      </c>
      <c r="U21" s="111">
        <f t="shared" ref="U21:U36" si="27">N21*T21</f>
        <v>0.15909090909090909</v>
      </c>
      <c r="V21" s="112" t="str">
        <f t="shared" ref="V21:V36" ca="1" si="28">IF(T21=R21,"완료",IF(T21&lt;R21,"지연","초과"))</f>
        <v>지연</v>
      </c>
    </row>
    <row r="22" spans="1:22" outlineLevel="1">
      <c r="A22" s="43">
        <v>3</v>
      </c>
      <c r="B22" s="46" t="s">
        <v>14</v>
      </c>
      <c r="C22" s="46">
        <v>3.1</v>
      </c>
      <c r="D22" s="42" t="s">
        <v>35</v>
      </c>
      <c r="E22" s="49"/>
      <c r="F22" s="49"/>
      <c r="G22" s="71"/>
      <c r="H22" s="71"/>
      <c r="I22" s="43" t="s">
        <v>7</v>
      </c>
      <c r="J22" s="43"/>
      <c r="K22" s="104">
        <f>MIN(K23:K24)</f>
        <v>45163</v>
      </c>
      <c r="L22" s="104">
        <f>MAX(L23:L24)</f>
        <v>45180</v>
      </c>
      <c r="M22" s="105">
        <f>SUM(M23:M24)</f>
        <v>13</v>
      </c>
      <c r="N22" s="106">
        <f>M22/$M$21</f>
        <v>9.285714285714286E-2</v>
      </c>
      <c r="O22" s="104">
        <f>MIN(O23:O24)</f>
        <v>45163</v>
      </c>
      <c r="P22" s="104">
        <f>MAX(P23:P24)</f>
        <v>45180</v>
      </c>
      <c r="Q22" s="105">
        <f>SUM(Q23:Q24)</f>
        <v>13</v>
      </c>
      <c r="R22" s="107">
        <f ca="1">SUMPRODUCT(N23:N24,R23:R24)</f>
        <v>1</v>
      </c>
      <c r="S22" s="107">
        <f ca="1">R22*N22</f>
        <v>9.285714285714286E-2</v>
      </c>
      <c r="T22" s="107">
        <f>AVERAGE(T23:T24)</f>
        <v>1</v>
      </c>
      <c r="U22" s="107">
        <f t="shared" si="27"/>
        <v>9.285714285714286E-2</v>
      </c>
      <c r="V22" s="108" t="str">
        <f t="shared" ca="1" si="28"/>
        <v>완료</v>
      </c>
    </row>
    <row r="23" spans="1:22" ht="15.6" customHeight="1" outlineLevel="2">
      <c r="A23" s="2">
        <v>3</v>
      </c>
      <c r="B23" s="2" t="s">
        <v>14</v>
      </c>
      <c r="C23" s="2">
        <v>3.1</v>
      </c>
      <c r="D23" s="4" t="s">
        <v>273</v>
      </c>
      <c r="E23" s="2" t="s">
        <v>143</v>
      </c>
      <c r="F23" s="4" t="s">
        <v>142</v>
      </c>
      <c r="G23" s="122" t="s">
        <v>259</v>
      </c>
      <c r="H23" s="63"/>
      <c r="I23" s="2" t="s">
        <v>128</v>
      </c>
      <c r="J23" s="2" t="s">
        <v>270</v>
      </c>
      <c r="K23" s="98">
        <v>45163</v>
      </c>
      <c r="L23" s="98">
        <v>45180</v>
      </c>
      <c r="M23" s="97">
        <f>NETWORKDAYS.INTL(K23,L23,1,기초데이터_삭제불가!$B$3:$B$16)</f>
        <v>12</v>
      </c>
      <c r="N23" s="99">
        <f t="shared" ref="N23:N24" si="29">M23/$M$22</f>
        <v>0.92307692307692313</v>
      </c>
      <c r="O23" s="98">
        <v>45163</v>
      </c>
      <c r="P23" s="98">
        <v>45180</v>
      </c>
      <c r="Q23" s="97">
        <f>NETWORKDAYS.INTL(O23,P23,1,기초데이터_삭제불가!$B$3:$B$16)</f>
        <v>12</v>
      </c>
      <c r="R23" s="100">
        <f t="shared" ref="R23:R50" ca="1" si="30">IF($L$2&gt;=L23,1,IF($L$2&lt;K23,0,(($L$2-K23)+1)/(M23)))</f>
        <v>1</v>
      </c>
      <c r="S23" s="101">
        <f t="shared" ref="S23:S50" ca="1" si="31">R23*N23</f>
        <v>0.92307692307692313</v>
      </c>
      <c r="T23" s="100">
        <v>1</v>
      </c>
      <c r="U23" s="101">
        <f t="shared" si="27"/>
        <v>0.92307692307692313</v>
      </c>
      <c r="V23" s="102" t="str">
        <f t="shared" ca="1" si="28"/>
        <v>완료</v>
      </c>
    </row>
    <row r="24" spans="1:22" outlineLevel="2">
      <c r="A24" s="2">
        <v>3</v>
      </c>
      <c r="B24" s="2" t="s">
        <v>14</v>
      </c>
      <c r="C24" s="2">
        <v>3.1</v>
      </c>
      <c r="D24" s="4" t="s">
        <v>130</v>
      </c>
      <c r="E24" s="2" t="s">
        <v>144</v>
      </c>
      <c r="F24" s="4" t="s">
        <v>293</v>
      </c>
      <c r="G24" s="70" t="s">
        <v>55</v>
      </c>
      <c r="I24" s="2" t="s">
        <v>237</v>
      </c>
      <c r="J24" s="2" t="s">
        <v>379</v>
      </c>
      <c r="K24" s="98">
        <v>45180</v>
      </c>
      <c r="L24" s="98">
        <v>45180</v>
      </c>
      <c r="M24" s="97">
        <f>NETWORKDAYS.INTL(K24,L24,1,기초데이터_삭제불가!$B$3:$B$16)</f>
        <v>1</v>
      </c>
      <c r="N24" s="99">
        <f t="shared" si="29"/>
        <v>7.6923076923076927E-2</v>
      </c>
      <c r="O24" s="98">
        <v>45180</v>
      </c>
      <c r="P24" s="98">
        <v>45180</v>
      </c>
      <c r="Q24" s="97">
        <f>NETWORKDAYS.INTL(O24,P24,1,기초데이터_삭제불가!$B$3:$B$16)</f>
        <v>1</v>
      </c>
      <c r="R24" s="100">
        <f t="shared" ca="1" si="30"/>
        <v>1</v>
      </c>
      <c r="S24" s="101">
        <f t="shared" ca="1" si="31"/>
        <v>7.6923076923076927E-2</v>
      </c>
      <c r="T24" s="100">
        <v>1</v>
      </c>
      <c r="U24" s="101">
        <f t="shared" si="27"/>
        <v>7.6923076923076927E-2</v>
      </c>
      <c r="V24" s="102" t="str">
        <f t="shared" ca="1" si="28"/>
        <v>완료</v>
      </c>
    </row>
    <row r="25" spans="1:22" outlineLevel="1">
      <c r="A25" s="43">
        <v>3</v>
      </c>
      <c r="B25" s="46" t="s">
        <v>14</v>
      </c>
      <c r="C25" s="46">
        <v>3.2</v>
      </c>
      <c r="D25" s="42" t="s">
        <v>242</v>
      </c>
      <c r="E25" s="49"/>
      <c r="F25" s="49"/>
      <c r="G25" s="71"/>
      <c r="H25" s="71"/>
      <c r="I25" s="43"/>
      <c r="J25" s="43"/>
      <c r="K25" s="104">
        <f>MIN(K26:K27)</f>
        <v>45180</v>
      </c>
      <c r="L25" s="104">
        <f>MAX(L27:L35)</f>
        <v>45212</v>
      </c>
      <c r="M25" s="105">
        <f>SUM(M26:M27)</f>
        <v>6</v>
      </c>
      <c r="N25" s="106">
        <f>M25/$M$21</f>
        <v>4.2857142857142858E-2</v>
      </c>
      <c r="O25" s="104">
        <f>MIN(O26:O27)</f>
        <v>45180</v>
      </c>
      <c r="P25" s="104">
        <f>MAX(P26:P27)</f>
        <v>45187</v>
      </c>
      <c r="Q25" s="105">
        <f>SUM(Q26:Q27)</f>
        <v>6</v>
      </c>
      <c r="R25" s="107">
        <f ca="1">SUMPRODUCT(N26:N27,R26:R27)</f>
        <v>1</v>
      </c>
      <c r="S25" s="107">
        <f ca="1">R25*N25</f>
        <v>4.2857142857142858E-2</v>
      </c>
      <c r="T25" s="107">
        <f>AVERAGE(T26:T27)</f>
        <v>1</v>
      </c>
      <c r="U25" s="107">
        <f t="shared" ref="U25" si="32">N25*T25</f>
        <v>4.2857142857142858E-2</v>
      </c>
      <c r="V25" s="108" t="str">
        <f t="shared" ref="V25" ca="1" si="33">IF(T25=R25,"완료",IF(T25&lt;R25,"지연","초과"))</f>
        <v>완료</v>
      </c>
    </row>
    <row r="26" spans="1:22" s="55" customFormat="1" outlineLevel="1">
      <c r="A26" s="45">
        <v>3</v>
      </c>
      <c r="B26" s="53" t="s">
        <v>243</v>
      </c>
      <c r="C26" s="53">
        <v>3.2</v>
      </c>
      <c r="D26" s="54" t="s">
        <v>249</v>
      </c>
      <c r="E26" s="45" t="s">
        <v>246</v>
      </c>
      <c r="F26" s="54" t="s">
        <v>248</v>
      </c>
      <c r="G26" s="73" t="s">
        <v>250</v>
      </c>
      <c r="H26" s="73"/>
      <c r="I26" s="45" t="s">
        <v>271</v>
      </c>
      <c r="J26" s="45" t="s">
        <v>251</v>
      </c>
      <c r="K26" s="98">
        <v>45180</v>
      </c>
      <c r="L26" s="98">
        <v>45184</v>
      </c>
      <c r="M26" s="97">
        <f>NETWORKDAYS.INTL(K26,L26,1,기초데이터_삭제불가!$B$3:$B$16)</f>
        <v>5</v>
      </c>
      <c r="N26" s="99">
        <f>M26/$M$25</f>
        <v>0.83333333333333337</v>
      </c>
      <c r="O26" s="98">
        <v>45180</v>
      </c>
      <c r="P26" s="98">
        <v>45184</v>
      </c>
      <c r="Q26" s="97">
        <f>NETWORKDAYS.INTL(O26,P26,1,기초데이터_삭제불가!$B$3:$B$16)</f>
        <v>5</v>
      </c>
      <c r="R26" s="100">
        <f t="shared" ca="1" si="30"/>
        <v>1</v>
      </c>
      <c r="S26" s="101">
        <f t="shared" ca="1" si="31"/>
        <v>0.83333333333333337</v>
      </c>
      <c r="T26" s="100">
        <v>1</v>
      </c>
      <c r="U26" s="101">
        <f t="shared" si="27"/>
        <v>0.83333333333333337</v>
      </c>
      <c r="V26" s="102" t="str">
        <f t="shared" ca="1" si="28"/>
        <v>완료</v>
      </c>
    </row>
    <row r="27" spans="1:22" outlineLevel="2">
      <c r="A27" s="45">
        <v>3</v>
      </c>
      <c r="B27" s="53" t="s">
        <v>243</v>
      </c>
      <c r="C27" s="53">
        <v>3.2</v>
      </c>
      <c r="D27" s="54" t="s">
        <v>245</v>
      </c>
      <c r="E27" s="2" t="s">
        <v>247</v>
      </c>
      <c r="F27" s="4" t="s">
        <v>292</v>
      </c>
      <c r="G27" s="70" t="s">
        <v>55</v>
      </c>
      <c r="I27" s="2" t="s">
        <v>252</v>
      </c>
      <c r="J27" s="2" t="s">
        <v>253</v>
      </c>
      <c r="K27" s="98">
        <v>45187</v>
      </c>
      <c r="L27" s="98">
        <v>45187</v>
      </c>
      <c r="M27" s="97">
        <f>NETWORKDAYS.INTL(K27,L27,1,기초데이터_삭제불가!$B$3:$B$16)</f>
        <v>1</v>
      </c>
      <c r="N27" s="99">
        <f>M27/$M$25</f>
        <v>0.16666666666666666</v>
      </c>
      <c r="O27" s="98">
        <v>45187</v>
      </c>
      <c r="P27" s="98">
        <v>45187</v>
      </c>
      <c r="Q27" s="97">
        <f>NETWORKDAYS.INTL(O27,P27,1,기초데이터_삭제불가!$B$3:$B$16)</f>
        <v>1</v>
      </c>
      <c r="R27" s="100">
        <f t="shared" ca="1" si="30"/>
        <v>1</v>
      </c>
      <c r="S27" s="101">
        <f t="shared" ca="1" si="31"/>
        <v>0.16666666666666666</v>
      </c>
      <c r="T27" s="100">
        <v>1</v>
      </c>
      <c r="U27" s="101">
        <f t="shared" si="27"/>
        <v>0.16666666666666666</v>
      </c>
      <c r="V27" s="102" t="str">
        <f t="shared" ca="1" si="28"/>
        <v>완료</v>
      </c>
    </row>
    <row r="28" spans="1:22" outlineLevel="1">
      <c r="A28" s="46">
        <v>3</v>
      </c>
      <c r="B28" s="46" t="s">
        <v>14</v>
      </c>
      <c r="C28" s="48">
        <v>3.3</v>
      </c>
      <c r="D28" s="42" t="s">
        <v>145</v>
      </c>
      <c r="E28" s="43"/>
      <c r="F28" s="47"/>
      <c r="G28" s="71"/>
      <c r="H28" s="71"/>
      <c r="I28" s="50" t="s">
        <v>8</v>
      </c>
      <c r="J28" s="43"/>
      <c r="K28" s="104">
        <f>MIN(K29:K32)</f>
        <v>45166</v>
      </c>
      <c r="L28" s="104">
        <f>MAX(L29:L32)</f>
        <v>45205</v>
      </c>
      <c r="M28" s="105">
        <f>SUM(M29:M32)</f>
        <v>19</v>
      </c>
      <c r="N28" s="106">
        <f>M28/$M$21</f>
        <v>0.1357142857142857</v>
      </c>
      <c r="O28" s="104">
        <f>MIN(O29:O32)</f>
        <v>45166</v>
      </c>
      <c r="P28" s="104">
        <f>MAX(P29:P32)</f>
        <v>45189</v>
      </c>
      <c r="Q28" s="105">
        <f>SUM(Q29:Q32)</f>
        <v>14</v>
      </c>
      <c r="R28" s="107">
        <f ca="1">SUMPRODUCT(N29:N32,R29:R32)</f>
        <v>0.63157894736842102</v>
      </c>
      <c r="S28" s="107">
        <f ca="1">R28*N28</f>
        <v>8.5714285714285701E-2</v>
      </c>
      <c r="T28" s="107">
        <f>AVERAGE(T29:T32)</f>
        <v>0.5</v>
      </c>
      <c r="U28" s="107">
        <f>N28*T28</f>
        <v>6.7857142857142852E-2</v>
      </c>
      <c r="V28" s="108" t="str">
        <f ca="1">IF(T28=R28,"완료",IF(T28&lt;R28,"지연","초과"))</f>
        <v>지연</v>
      </c>
    </row>
    <row r="29" spans="1:22" outlineLevel="2">
      <c r="A29" s="2">
        <v>3</v>
      </c>
      <c r="B29" s="2" t="s">
        <v>14</v>
      </c>
      <c r="C29" s="9">
        <v>3.3</v>
      </c>
      <c r="D29" s="4" t="s">
        <v>163</v>
      </c>
      <c r="E29" s="2" t="s">
        <v>146</v>
      </c>
      <c r="F29" s="7" t="s">
        <v>380</v>
      </c>
      <c r="G29" s="70" t="s">
        <v>380</v>
      </c>
      <c r="H29" s="63"/>
      <c r="I29" s="45" t="s">
        <v>271</v>
      </c>
      <c r="J29" s="45" t="s">
        <v>251</v>
      </c>
      <c r="K29" s="98">
        <v>45166</v>
      </c>
      <c r="L29" s="98">
        <v>45173</v>
      </c>
      <c r="M29" s="97">
        <f>NETWORKDAYS.INTL(K29,L29,1,기초데이터_삭제불가!$B$3:$B$16)</f>
        <v>6</v>
      </c>
      <c r="N29" s="99">
        <f>M29/$M$28</f>
        <v>0.31578947368421051</v>
      </c>
      <c r="O29" s="98">
        <v>45166</v>
      </c>
      <c r="P29" s="98">
        <v>45173</v>
      </c>
      <c r="Q29" s="97">
        <f>NETWORKDAYS.INTL(O29,P29,1,기초데이터_삭제불가!$B$3:$B$16)</f>
        <v>6</v>
      </c>
      <c r="R29" s="100">
        <f t="shared" ref="R29:R34" ca="1" si="34">IF($L$2&gt;=L29,1,IF($L$2&lt;K29,0,(($L$2-K29)+1)/(M29)))</f>
        <v>1</v>
      </c>
      <c r="S29" s="101">
        <f t="shared" ref="S29:S34" ca="1" si="35">R29*N29</f>
        <v>0.31578947368421051</v>
      </c>
      <c r="T29" s="100">
        <v>1</v>
      </c>
      <c r="U29" s="101">
        <f t="shared" ref="U29:U34" si="36">N29*T29</f>
        <v>0.31578947368421051</v>
      </c>
      <c r="V29" s="102" t="str">
        <f t="shared" ref="V29:V34" ca="1" si="37">IF(T29=R29,"완료",IF(T29&lt;R29,"지연","초과"))</f>
        <v>완료</v>
      </c>
    </row>
    <row r="30" spans="1:22" outlineLevel="2">
      <c r="A30" s="2">
        <v>3</v>
      </c>
      <c r="B30" s="2" t="s">
        <v>14</v>
      </c>
      <c r="C30" s="9">
        <v>3.3</v>
      </c>
      <c r="D30" s="4" t="s">
        <v>163</v>
      </c>
      <c r="E30" s="2" t="s">
        <v>239</v>
      </c>
      <c r="F30" s="7" t="s">
        <v>240</v>
      </c>
      <c r="G30" s="70" t="s">
        <v>241</v>
      </c>
      <c r="H30" s="63"/>
      <c r="I30" s="2" t="s">
        <v>7</v>
      </c>
      <c r="J30" s="2" t="s">
        <v>422</v>
      </c>
      <c r="K30" s="98">
        <v>45173</v>
      </c>
      <c r="L30" s="98">
        <v>45176</v>
      </c>
      <c r="M30" s="97">
        <f>NETWORKDAYS.INTL(K30,L30,1,기초데이터_삭제불가!$B$3:$B$16)</f>
        <v>4</v>
      </c>
      <c r="N30" s="99">
        <f t="shared" ref="N30:N32" si="38">M30/$M$28</f>
        <v>0.21052631578947367</v>
      </c>
      <c r="O30" s="98">
        <v>45180</v>
      </c>
      <c r="P30" s="98">
        <v>45189</v>
      </c>
      <c r="Q30" s="97">
        <f>NETWORKDAYS.INTL(O30,P30,1,기초데이터_삭제불가!$B$3:$B$16)</f>
        <v>8</v>
      </c>
      <c r="R30" s="100">
        <f t="shared" ca="1" si="34"/>
        <v>1</v>
      </c>
      <c r="S30" s="101">
        <f t="shared" ca="1" si="35"/>
        <v>0.21052631578947367</v>
      </c>
      <c r="T30" s="100">
        <v>1</v>
      </c>
      <c r="U30" s="101">
        <f t="shared" si="36"/>
        <v>0.21052631578947367</v>
      </c>
      <c r="V30" s="102" t="str">
        <f t="shared" ca="1" si="37"/>
        <v>완료</v>
      </c>
    </row>
    <row r="31" spans="1:22" outlineLevel="2">
      <c r="A31" s="2">
        <v>3</v>
      </c>
      <c r="B31" s="2" t="s">
        <v>14</v>
      </c>
      <c r="C31" s="9">
        <v>3.3</v>
      </c>
      <c r="D31" s="4" t="s">
        <v>129</v>
      </c>
      <c r="E31" s="2" t="s">
        <v>134</v>
      </c>
      <c r="F31" s="4" t="s">
        <v>135</v>
      </c>
      <c r="G31" s="70" t="s">
        <v>140</v>
      </c>
      <c r="H31" s="63"/>
      <c r="I31" s="2" t="s">
        <v>8</v>
      </c>
      <c r="K31" s="98">
        <v>45189</v>
      </c>
      <c r="L31" s="98">
        <v>45196</v>
      </c>
      <c r="M31" s="97">
        <f>NETWORKDAYS.INTL(K31,L31,1,기초데이터_삭제불가!$B$3:$B$16)</f>
        <v>6</v>
      </c>
      <c r="N31" s="99">
        <f t="shared" si="38"/>
        <v>0.31578947368421051</v>
      </c>
      <c r="O31" s="98"/>
      <c r="P31" s="98"/>
      <c r="Q31" s="97">
        <f>NETWORKDAYS.INTL(O31,P31,1,기초데이터_삭제불가!$B$3:$B$16)</f>
        <v>0</v>
      </c>
      <c r="R31" s="100">
        <f t="shared" ca="1" si="34"/>
        <v>0.33333333333333331</v>
      </c>
      <c r="S31" s="101">
        <f t="shared" ca="1" si="35"/>
        <v>0.10526315789473684</v>
      </c>
      <c r="T31" s="100">
        <v>0</v>
      </c>
      <c r="U31" s="101">
        <f t="shared" si="36"/>
        <v>0</v>
      </c>
      <c r="V31" s="102" t="str">
        <f t="shared" ca="1" si="37"/>
        <v>지연</v>
      </c>
    </row>
    <row r="32" spans="1:22" outlineLevel="2">
      <c r="A32" s="2">
        <v>3</v>
      </c>
      <c r="B32" s="2" t="s">
        <v>14</v>
      </c>
      <c r="C32" s="9">
        <v>3.3</v>
      </c>
      <c r="D32" s="4" t="s">
        <v>244</v>
      </c>
      <c r="E32" s="2" t="s">
        <v>162</v>
      </c>
      <c r="F32" s="4" t="s">
        <v>291</v>
      </c>
      <c r="G32" s="70" t="s">
        <v>55</v>
      </c>
      <c r="I32" s="2" t="s">
        <v>238</v>
      </c>
      <c r="K32" s="98">
        <v>45203</v>
      </c>
      <c r="L32" s="98">
        <v>45205</v>
      </c>
      <c r="M32" s="97">
        <f>NETWORKDAYS.INTL(K32,L32,1,기초데이터_삭제불가!$B$3:$B$16)</f>
        <v>3</v>
      </c>
      <c r="N32" s="99">
        <f t="shared" si="38"/>
        <v>0.15789473684210525</v>
      </c>
      <c r="O32" s="98"/>
      <c r="P32" s="98"/>
      <c r="Q32" s="97">
        <f>NETWORKDAYS.INTL(O32,P32,1,기초데이터_삭제불가!$B$3:$B$16)</f>
        <v>0</v>
      </c>
      <c r="R32" s="100">
        <f t="shared" ca="1" si="34"/>
        <v>0</v>
      </c>
      <c r="S32" s="101">
        <f t="shared" ca="1" si="35"/>
        <v>0</v>
      </c>
      <c r="T32" s="100">
        <v>0</v>
      </c>
      <c r="U32" s="101">
        <f t="shared" si="36"/>
        <v>0</v>
      </c>
      <c r="V32" s="102" t="str">
        <f t="shared" ca="1" si="37"/>
        <v>완료</v>
      </c>
    </row>
    <row r="33" spans="1:22" outlineLevel="1">
      <c r="A33" s="46">
        <v>3</v>
      </c>
      <c r="B33" s="46" t="s">
        <v>14</v>
      </c>
      <c r="C33" s="46">
        <v>3.4</v>
      </c>
      <c r="D33" s="42" t="s">
        <v>254</v>
      </c>
      <c r="E33" s="49"/>
      <c r="F33" s="49"/>
      <c r="G33" s="71"/>
      <c r="H33" s="71"/>
      <c r="I33" s="43" t="s">
        <v>7</v>
      </c>
      <c r="J33" s="43"/>
      <c r="K33" s="104">
        <f>MIN(K35:K38)</f>
        <v>45188</v>
      </c>
      <c r="L33" s="104">
        <f>MAX(L35:L38)</f>
        <v>45212</v>
      </c>
      <c r="M33" s="105">
        <f>SUM(M34)</f>
        <v>3</v>
      </c>
      <c r="N33" s="106">
        <f>M33/$M$21</f>
        <v>2.1428571428571429E-2</v>
      </c>
      <c r="O33" s="104">
        <f>MIN(O34)</f>
        <v>45183</v>
      </c>
      <c r="P33" s="104">
        <f>MAX(P34)</f>
        <v>45187</v>
      </c>
      <c r="Q33" s="105">
        <f>SUM(Q35:Q38)</f>
        <v>0</v>
      </c>
      <c r="R33" s="107">
        <f ca="1">SUMPRODUCT(N34,R34)</f>
        <v>1</v>
      </c>
      <c r="S33" s="107">
        <f ca="1">R33*N33</f>
        <v>2.1428571428571429E-2</v>
      </c>
      <c r="T33" s="107">
        <f>AVERAGE(T34)</f>
        <v>1</v>
      </c>
      <c r="U33" s="107">
        <f t="shared" ref="U33" si="39">N33*T33</f>
        <v>2.1428571428571429E-2</v>
      </c>
      <c r="V33" s="108" t="str">
        <f t="shared" ref="V33" ca="1" si="40">IF(T33=R33,"완료",IF(T33&lt;R33,"지연","초과"))</f>
        <v>완료</v>
      </c>
    </row>
    <row r="34" spans="1:22" s="55" customFormat="1" outlineLevel="1">
      <c r="A34" s="53">
        <v>3</v>
      </c>
      <c r="B34" s="53" t="s">
        <v>243</v>
      </c>
      <c r="C34" s="53">
        <v>3.4</v>
      </c>
      <c r="D34" s="54" t="s">
        <v>254</v>
      </c>
      <c r="E34" s="45" t="s">
        <v>255</v>
      </c>
      <c r="F34" s="54" t="s">
        <v>256</v>
      </c>
      <c r="G34" s="73" t="s">
        <v>257</v>
      </c>
      <c r="H34" s="73"/>
      <c r="I34" s="45" t="s">
        <v>272</v>
      </c>
      <c r="J34" s="45" t="s">
        <v>251</v>
      </c>
      <c r="K34" s="98">
        <v>45183</v>
      </c>
      <c r="L34" s="98">
        <v>45187</v>
      </c>
      <c r="M34" s="97">
        <f>NETWORKDAYS.INTL(K34,L34,1,기초데이터_삭제불가!$B$3:$B$16)</f>
        <v>3</v>
      </c>
      <c r="N34" s="99">
        <f>M34/$M$33</f>
        <v>1</v>
      </c>
      <c r="O34" s="98">
        <v>45183</v>
      </c>
      <c r="P34" s="98">
        <v>45187</v>
      </c>
      <c r="Q34" s="97">
        <f>NETWORKDAYS.INTL(O34,P34,1,기초데이터_삭제불가!$B$3:$B$16)</f>
        <v>3</v>
      </c>
      <c r="R34" s="100">
        <f t="shared" ca="1" si="34"/>
        <v>1</v>
      </c>
      <c r="S34" s="101">
        <f t="shared" ca="1" si="35"/>
        <v>1</v>
      </c>
      <c r="T34" s="116">
        <v>1</v>
      </c>
      <c r="U34" s="101">
        <f t="shared" si="36"/>
        <v>1</v>
      </c>
      <c r="V34" s="102" t="str">
        <f t="shared" ca="1" si="37"/>
        <v>완료</v>
      </c>
    </row>
    <row r="35" spans="1:22" outlineLevel="1">
      <c r="A35" s="43">
        <v>3</v>
      </c>
      <c r="B35" s="43" t="s">
        <v>14</v>
      </c>
      <c r="C35" s="46">
        <v>3.5</v>
      </c>
      <c r="D35" s="42" t="s">
        <v>274</v>
      </c>
      <c r="E35" s="43"/>
      <c r="F35" s="51"/>
      <c r="G35" s="71"/>
      <c r="H35" s="64"/>
      <c r="I35" s="43" t="s">
        <v>7</v>
      </c>
      <c r="J35" s="43"/>
      <c r="K35" s="104">
        <f>MIN(K36:K43)</f>
        <v>45188</v>
      </c>
      <c r="L35" s="104">
        <f>MAX(L36:L43)</f>
        <v>45212</v>
      </c>
      <c r="M35" s="105">
        <f>SUM(M36:M45)</f>
        <v>36</v>
      </c>
      <c r="N35" s="106">
        <f t="shared" ref="N35:N46" si="41">M35/$M$21</f>
        <v>0.25714285714285712</v>
      </c>
      <c r="O35" s="104">
        <f>MIN(O36:O43)</f>
        <v>0</v>
      </c>
      <c r="P35" s="104">
        <f>MAX(P36:P43)</f>
        <v>0</v>
      </c>
      <c r="Q35" s="105">
        <f>SUM(Q36:Q43)</f>
        <v>0</v>
      </c>
      <c r="R35" s="107">
        <f ca="1">SUMPRODUCT(N36:N45,R36:R45)</f>
        <v>0.16666666666666666</v>
      </c>
      <c r="S35" s="107">
        <f ca="1">R35*N35</f>
        <v>4.2857142857142851E-2</v>
      </c>
      <c r="T35" s="107">
        <f>AVERAGE(T36:T43)</f>
        <v>1.2500000000000001E-2</v>
      </c>
      <c r="U35" s="107">
        <f t="shared" si="27"/>
        <v>3.2142857142857142E-3</v>
      </c>
      <c r="V35" s="108" t="str">
        <f t="shared" ca="1" si="28"/>
        <v>지연</v>
      </c>
    </row>
    <row r="36" spans="1:22" outlineLevel="2">
      <c r="A36" s="2">
        <v>3</v>
      </c>
      <c r="B36" s="2" t="s">
        <v>14</v>
      </c>
      <c r="C36" s="2">
        <v>3.5</v>
      </c>
      <c r="D36" s="4" t="s">
        <v>276</v>
      </c>
      <c r="E36" s="2" t="s">
        <v>191</v>
      </c>
      <c r="F36" s="8" t="s">
        <v>285</v>
      </c>
      <c r="G36" s="70" t="s">
        <v>56</v>
      </c>
      <c r="I36" s="2" t="s">
        <v>128</v>
      </c>
      <c r="J36" s="2" t="s">
        <v>381</v>
      </c>
      <c r="K36" s="98">
        <v>45190</v>
      </c>
      <c r="L36" s="98">
        <v>45196</v>
      </c>
      <c r="M36" s="97">
        <f>NETWORKDAYS.INTL(K36,L36,1,기초데이터_삭제불가!$B$3:$B$16)</f>
        <v>5</v>
      </c>
      <c r="N36" s="99">
        <f t="shared" ref="N36:N41" si="42">M36/$M$35</f>
        <v>0.1388888888888889</v>
      </c>
      <c r="O36" s="98"/>
      <c r="P36" s="98"/>
      <c r="Q36" s="97">
        <f>NETWORKDAYS.INTL(O36,P36,1,기초데이터_삭제불가!$B$3:$B$16)</f>
        <v>0</v>
      </c>
      <c r="R36" s="100">
        <f t="shared" ca="1" si="30"/>
        <v>0.2</v>
      </c>
      <c r="S36" s="101">
        <f t="shared" ca="1" si="31"/>
        <v>2.777777777777778E-2</v>
      </c>
      <c r="T36" s="100">
        <v>0.1</v>
      </c>
      <c r="U36" s="101">
        <f t="shared" si="27"/>
        <v>1.388888888888889E-2</v>
      </c>
      <c r="V36" s="102" t="str">
        <f t="shared" ca="1" si="28"/>
        <v>지연</v>
      </c>
    </row>
    <row r="37" spans="1:22" outlineLevel="2">
      <c r="A37" s="2">
        <v>3</v>
      </c>
      <c r="B37" s="2" t="s">
        <v>14</v>
      </c>
      <c r="C37" s="2">
        <v>3.5</v>
      </c>
      <c r="D37" s="4" t="s">
        <v>275</v>
      </c>
      <c r="E37" s="2" t="s">
        <v>192</v>
      </c>
      <c r="F37" s="4" t="s">
        <v>290</v>
      </c>
      <c r="G37" s="70" t="s">
        <v>55</v>
      </c>
      <c r="I37" s="2" t="s">
        <v>207</v>
      </c>
      <c r="K37" s="98">
        <v>45203</v>
      </c>
      <c r="L37" s="98">
        <v>45204</v>
      </c>
      <c r="M37" s="97">
        <f>NETWORKDAYS.INTL(K37,L37,1,기초데이터_삭제불가!$B$3:$B$16)</f>
        <v>2</v>
      </c>
      <c r="N37" s="99">
        <f t="shared" si="42"/>
        <v>5.5555555555555552E-2</v>
      </c>
      <c r="O37" s="98"/>
      <c r="P37" s="98"/>
      <c r="Q37" s="97">
        <f>NETWORKDAYS.INTL(O37,P37,1,기초데이터_삭제불가!$B$3:$B$16)</f>
        <v>0</v>
      </c>
      <c r="R37" s="100">
        <f t="shared" ca="1" si="30"/>
        <v>0</v>
      </c>
      <c r="S37" s="101">
        <f t="shared" ca="1" si="31"/>
        <v>0</v>
      </c>
      <c r="T37" s="100">
        <v>0</v>
      </c>
      <c r="U37" s="101">
        <f t="shared" ref="U37:U39" ca="1" si="43">N37*R37</f>
        <v>0</v>
      </c>
      <c r="V37" s="102" t="str">
        <f t="shared" ref="V37:V43" ca="1" si="44">IF(T37=R37,"완료",IF(T37&lt;R37,"지연","초과"))</f>
        <v>완료</v>
      </c>
    </row>
    <row r="38" spans="1:22" outlineLevel="2">
      <c r="A38" s="2">
        <v>3</v>
      </c>
      <c r="B38" s="2" t="s">
        <v>14</v>
      </c>
      <c r="C38" s="2">
        <v>3.5</v>
      </c>
      <c r="D38" s="4" t="s">
        <v>277</v>
      </c>
      <c r="E38" s="2" t="s">
        <v>25</v>
      </c>
      <c r="F38" s="8" t="s">
        <v>280</v>
      </c>
      <c r="G38" s="70" t="s">
        <v>56</v>
      </c>
      <c r="I38" s="2" t="s">
        <v>7</v>
      </c>
      <c r="J38" s="2" t="s">
        <v>382</v>
      </c>
      <c r="K38" s="98">
        <v>45188</v>
      </c>
      <c r="L38" s="98">
        <v>45196</v>
      </c>
      <c r="M38" s="97">
        <f>NETWORKDAYS.INTL(K38,L38,1,기초데이터_삭제불가!$B$3:$B$16)</f>
        <v>7</v>
      </c>
      <c r="N38" s="99">
        <f t="shared" si="42"/>
        <v>0.19444444444444445</v>
      </c>
      <c r="O38" s="98"/>
      <c r="P38" s="98"/>
      <c r="Q38" s="97">
        <f>NETWORKDAYS.INTL(O38,P38,1,기초데이터_삭제불가!$B$3:$B$16)</f>
        <v>0</v>
      </c>
      <c r="R38" s="100">
        <f t="shared" ca="1" si="30"/>
        <v>0.42857142857142855</v>
      </c>
      <c r="S38" s="101">
        <f t="shared" ca="1" si="31"/>
        <v>8.3333333333333329E-2</v>
      </c>
      <c r="T38" s="100">
        <v>0</v>
      </c>
      <c r="U38" s="101">
        <f t="shared" ca="1" si="43"/>
        <v>8.3333333333333329E-2</v>
      </c>
      <c r="V38" s="102" t="str">
        <f t="shared" ca="1" si="44"/>
        <v>지연</v>
      </c>
    </row>
    <row r="39" spans="1:22" outlineLevel="2">
      <c r="A39" s="2">
        <v>3</v>
      </c>
      <c r="B39" s="2" t="s">
        <v>14</v>
      </c>
      <c r="C39" s="2">
        <v>3.5</v>
      </c>
      <c r="D39" s="4" t="s">
        <v>275</v>
      </c>
      <c r="E39" s="2" t="s">
        <v>26</v>
      </c>
      <c r="F39" s="4" t="s">
        <v>289</v>
      </c>
      <c r="G39" s="70" t="s">
        <v>55</v>
      </c>
      <c r="I39" s="2" t="s">
        <v>207</v>
      </c>
      <c r="K39" s="98">
        <v>45203</v>
      </c>
      <c r="L39" s="98">
        <v>45204</v>
      </c>
      <c r="M39" s="97">
        <f>NETWORKDAYS.INTL(K39,L39,1,기초데이터_삭제불가!$B$3:$B$16)</f>
        <v>2</v>
      </c>
      <c r="N39" s="99">
        <f t="shared" si="42"/>
        <v>5.5555555555555552E-2</v>
      </c>
      <c r="O39" s="103"/>
      <c r="P39" s="103"/>
      <c r="Q39" s="97">
        <f>NETWORKDAYS.INTL(O39,P39,1,기초데이터_삭제불가!$B$3:$B$16)</f>
        <v>0</v>
      </c>
      <c r="R39" s="100">
        <f t="shared" ca="1" si="30"/>
        <v>0</v>
      </c>
      <c r="S39" s="101">
        <f t="shared" ca="1" si="31"/>
        <v>0</v>
      </c>
      <c r="T39" s="100">
        <v>0</v>
      </c>
      <c r="U39" s="101">
        <f t="shared" ca="1" si="43"/>
        <v>0</v>
      </c>
      <c r="V39" s="102" t="str">
        <f t="shared" ca="1" si="44"/>
        <v>완료</v>
      </c>
    </row>
    <row r="40" spans="1:22" outlineLevel="2">
      <c r="A40" s="2">
        <v>3</v>
      </c>
      <c r="B40" s="2" t="s">
        <v>14</v>
      </c>
      <c r="C40" s="2">
        <v>3.5</v>
      </c>
      <c r="D40" s="4" t="s">
        <v>278</v>
      </c>
      <c r="E40" s="2" t="s">
        <v>27</v>
      </c>
      <c r="F40" s="8" t="s">
        <v>281</v>
      </c>
      <c r="G40" s="70" t="s">
        <v>56</v>
      </c>
      <c r="I40" s="2" t="s">
        <v>7</v>
      </c>
      <c r="J40" s="2" t="s">
        <v>422</v>
      </c>
      <c r="K40" s="98">
        <v>45204</v>
      </c>
      <c r="L40" s="98">
        <v>45210</v>
      </c>
      <c r="M40" s="97">
        <f>NETWORKDAYS.INTL(K40,L40,1,기초데이터_삭제불가!$B$3:$B$16)</f>
        <v>4</v>
      </c>
      <c r="N40" s="99">
        <f t="shared" si="42"/>
        <v>0.1111111111111111</v>
      </c>
      <c r="O40" s="103"/>
      <c r="P40" s="103"/>
      <c r="Q40" s="97">
        <f>NETWORKDAYS.INTL(O40,P40,1,기초데이터_삭제불가!$B$3:$B$16)</f>
        <v>0</v>
      </c>
      <c r="R40" s="100">
        <f t="shared" ca="1" si="30"/>
        <v>0</v>
      </c>
      <c r="S40" s="101">
        <f t="shared" ca="1" si="31"/>
        <v>0</v>
      </c>
      <c r="T40" s="100">
        <v>0</v>
      </c>
      <c r="U40" s="101">
        <f t="shared" ref="U40:U41" si="45">N40*T40</f>
        <v>0</v>
      </c>
      <c r="V40" s="102" t="str">
        <f t="shared" ca="1" si="44"/>
        <v>완료</v>
      </c>
    </row>
    <row r="41" spans="1:22" outlineLevel="2">
      <c r="A41" s="2">
        <v>3</v>
      </c>
      <c r="B41" s="2" t="s">
        <v>14</v>
      </c>
      <c r="C41" s="2">
        <v>3.5</v>
      </c>
      <c r="D41" s="4" t="s">
        <v>131</v>
      </c>
      <c r="E41" s="2" t="s">
        <v>28</v>
      </c>
      <c r="F41" s="4" t="s">
        <v>288</v>
      </c>
      <c r="G41" s="70" t="s">
        <v>55</v>
      </c>
      <c r="I41" s="2" t="s">
        <v>207</v>
      </c>
      <c r="K41" s="98">
        <v>45211</v>
      </c>
      <c r="L41" s="98">
        <v>45212</v>
      </c>
      <c r="M41" s="97">
        <f>NETWORKDAYS.INTL(K41,L41,1,기초데이터_삭제불가!$B$3:$B$16)</f>
        <v>2</v>
      </c>
      <c r="N41" s="99">
        <f t="shared" si="42"/>
        <v>5.5555555555555552E-2</v>
      </c>
      <c r="O41" s="103"/>
      <c r="P41" s="103"/>
      <c r="Q41" s="97">
        <f>NETWORKDAYS.INTL(O41,P41,1,기초데이터_삭제불가!$B$3:$B$16)</f>
        <v>0</v>
      </c>
      <c r="R41" s="100">
        <f t="shared" ca="1" si="30"/>
        <v>0</v>
      </c>
      <c r="S41" s="101">
        <f t="shared" ca="1" si="31"/>
        <v>0</v>
      </c>
      <c r="T41" s="100">
        <v>0</v>
      </c>
      <c r="U41" s="101">
        <f t="shared" si="45"/>
        <v>0</v>
      </c>
      <c r="V41" s="102" t="str">
        <f t="shared" ca="1" si="44"/>
        <v>완료</v>
      </c>
    </row>
    <row r="42" spans="1:22" outlineLevel="2">
      <c r="A42" s="2">
        <v>3</v>
      </c>
      <c r="B42" s="2" t="s">
        <v>14</v>
      </c>
      <c r="C42" s="2">
        <v>3.5</v>
      </c>
      <c r="D42" s="4" t="s">
        <v>279</v>
      </c>
      <c r="E42" s="2" t="s">
        <v>29</v>
      </c>
      <c r="F42" s="8" t="s">
        <v>284</v>
      </c>
      <c r="G42" s="70" t="s">
        <v>56</v>
      </c>
      <c r="I42" s="2" t="s">
        <v>7</v>
      </c>
      <c r="J42" s="2" t="s">
        <v>421</v>
      </c>
      <c r="K42" s="98">
        <v>45189</v>
      </c>
      <c r="L42" s="98">
        <v>45196</v>
      </c>
      <c r="M42" s="97">
        <f>NETWORKDAYS.INTL(K42,L42,1,기초데이터_삭제불가!$B$3:$B$16)</f>
        <v>6</v>
      </c>
      <c r="N42" s="99">
        <f>M42/$M$35</f>
        <v>0.16666666666666666</v>
      </c>
      <c r="O42" s="103"/>
      <c r="P42" s="103"/>
      <c r="Q42" s="97">
        <f>NETWORKDAYS.INTL(O42,P42,1,기초데이터_삭제불가!$B$3:$B$16)</f>
        <v>0</v>
      </c>
      <c r="R42" s="100">
        <f t="shared" ca="1" si="30"/>
        <v>0.33333333333333331</v>
      </c>
      <c r="S42" s="101">
        <f ca="1">R42*N42</f>
        <v>5.5555555555555552E-2</v>
      </c>
      <c r="T42" s="100">
        <v>0</v>
      </c>
      <c r="U42" s="101">
        <f>N42*T42</f>
        <v>0</v>
      </c>
      <c r="V42" s="102" t="str">
        <f t="shared" ca="1" si="44"/>
        <v>지연</v>
      </c>
    </row>
    <row r="43" spans="1:22" outlineLevel="2">
      <c r="A43" s="2">
        <v>3</v>
      </c>
      <c r="B43" s="2" t="s">
        <v>14</v>
      </c>
      <c r="C43" s="2">
        <v>3.5</v>
      </c>
      <c r="D43" s="4" t="s">
        <v>131</v>
      </c>
      <c r="E43" s="2" t="s">
        <v>30</v>
      </c>
      <c r="F43" s="4" t="s">
        <v>287</v>
      </c>
      <c r="G43" s="70" t="s">
        <v>55</v>
      </c>
      <c r="I43" s="2" t="s">
        <v>207</v>
      </c>
      <c r="K43" s="98">
        <v>45203</v>
      </c>
      <c r="L43" s="98">
        <v>45204</v>
      </c>
      <c r="M43" s="97">
        <f>NETWORKDAYS.INTL(K43,L43,1,기초데이터_삭제불가!$B$3:$B$16)</f>
        <v>2</v>
      </c>
      <c r="N43" s="99">
        <f>M43/$M$35</f>
        <v>5.5555555555555552E-2</v>
      </c>
      <c r="O43" s="103"/>
      <c r="P43" s="103"/>
      <c r="Q43" s="97">
        <f>NETWORKDAYS.INTL(O43,P43,1,기초데이터_삭제불가!$B$3:$B$16)</f>
        <v>0</v>
      </c>
      <c r="R43" s="100">
        <f t="shared" ca="1" si="30"/>
        <v>0</v>
      </c>
      <c r="S43" s="101">
        <f ca="1">R43*N43</f>
        <v>0</v>
      </c>
      <c r="T43" s="100">
        <v>0</v>
      </c>
      <c r="U43" s="101">
        <f>N43*T43</f>
        <v>0</v>
      </c>
      <c r="V43" s="102" t="str">
        <f t="shared" ca="1" si="44"/>
        <v>완료</v>
      </c>
    </row>
    <row r="44" spans="1:22" outlineLevel="2">
      <c r="A44" s="2">
        <v>3</v>
      </c>
      <c r="B44" s="2" t="s">
        <v>14</v>
      </c>
      <c r="C44" s="2">
        <v>3.5</v>
      </c>
      <c r="D44" s="4" t="s">
        <v>282</v>
      </c>
      <c r="E44" s="2" t="s">
        <v>29</v>
      </c>
      <c r="F44" s="8" t="s">
        <v>283</v>
      </c>
      <c r="G44" s="70" t="s">
        <v>56</v>
      </c>
      <c r="I44" s="2" t="s">
        <v>7</v>
      </c>
      <c r="J44" s="2" t="s">
        <v>394</v>
      </c>
      <c r="K44" s="98">
        <v>45204</v>
      </c>
      <c r="L44" s="98">
        <v>45210</v>
      </c>
      <c r="M44" s="97">
        <f>NETWORKDAYS.INTL(K44,L44,1,기초데이터_삭제불가!$B$3:$B$16)</f>
        <v>4</v>
      </c>
      <c r="N44" s="99">
        <f>M44/$M$35</f>
        <v>0.1111111111111111</v>
      </c>
      <c r="O44" s="103"/>
      <c r="P44" s="103"/>
      <c r="Q44" s="97">
        <f>NETWORKDAYS.INTL(O44,P44,1,기초데이터_삭제불가!$B$3:$B$16)</f>
        <v>0</v>
      </c>
      <c r="R44" s="100">
        <f t="shared" ca="1" si="30"/>
        <v>0</v>
      </c>
      <c r="S44" s="101">
        <f ca="1">R44*N44</f>
        <v>0</v>
      </c>
      <c r="T44" s="100">
        <v>0</v>
      </c>
      <c r="U44" s="101">
        <f>N44*T44</f>
        <v>0</v>
      </c>
      <c r="V44" s="102" t="str">
        <f t="shared" ref="V44:V45" ca="1" si="46">IF(T44=R44,"완료",IF(T44&lt;R44,"지연","초과"))</f>
        <v>완료</v>
      </c>
    </row>
    <row r="45" spans="1:22" outlineLevel="2">
      <c r="A45" s="2">
        <v>3</v>
      </c>
      <c r="B45" s="2" t="s">
        <v>14</v>
      </c>
      <c r="C45" s="2">
        <v>3.5</v>
      </c>
      <c r="D45" s="4" t="s">
        <v>131</v>
      </c>
      <c r="E45" s="2" t="s">
        <v>30</v>
      </c>
      <c r="F45" s="4" t="s">
        <v>286</v>
      </c>
      <c r="G45" s="70" t="s">
        <v>55</v>
      </c>
      <c r="I45" s="2" t="s">
        <v>207</v>
      </c>
      <c r="K45" s="98">
        <v>45211</v>
      </c>
      <c r="L45" s="98">
        <v>45212</v>
      </c>
      <c r="M45" s="97">
        <f>NETWORKDAYS.INTL(K45,L45,1,기초데이터_삭제불가!$B$3:$B$16)</f>
        <v>2</v>
      </c>
      <c r="N45" s="99">
        <f>M45/$M$35</f>
        <v>5.5555555555555552E-2</v>
      </c>
      <c r="O45" s="103"/>
      <c r="P45" s="103"/>
      <c r="Q45" s="97">
        <f>NETWORKDAYS.INTL(O45,P45,1,기초데이터_삭제불가!$B$3:$B$16)</f>
        <v>0</v>
      </c>
      <c r="R45" s="100">
        <f t="shared" ca="1" si="30"/>
        <v>0</v>
      </c>
      <c r="S45" s="101">
        <f ca="1">R45*N45</f>
        <v>0</v>
      </c>
      <c r="T45" s="100">
        <v>0</v>
      </c>
      <c r="U45" s="101">
        <f>N45*T45</f>
        <v>0</v>
      </c>
      <c r="V45" s="102" t="str">
        <f t="shared" ca="1" si="46"/>
        <v>완료</v>
      </c>
    </row>
    <row r="46" spans="1:22" outlineLevel="1">
      <c r="A46" s="43">
        <v>3</v>
      </c>
      <c r="B46" s="43" t="s">
        <v>14</v>
      </c>
      <c r="C46" s="46">
        <v>3.6</v>
      </c>
      <c r="D46" s="42" t="s">
        <v>383</v>
      </c>
      <c r="E46" s="43"/>
      <c r="F46" s="51"/>
      <c r="G46" s="71"/>
      <c r="H46" s="71"/>
      <c r="I46" s="43" t="s">
        <v>123</v>
      </c>
      <c r="J46" s="43"/>
      <c r="K46" s="104">
        <f>MIN(K47:K50)</f>
        <v>45211</v>
      </c>
      <c r="L46" s="104">
        <f>MAX(L47:L50)</f>
        <v>45212</v>
      </c>
      <c r="M46" s="105">
        <f>SUM(M47:M50)</f>
        <v>7</v>
      </c>
      <c r="N46" s="106">
        <f t="shared" si="41"/>
        <v>0.05</v>
      </c>
      <c r="O46" s="104">
        <f>MIN(O47:O50)</f>
        <v>0</v>
      </c>
      <c r="P46" s="104">
        <f>MAX(P47:P50)</f>
        <v>0</v>
      </c>
      <c r="Q46" s="105">
        <f>SUM(Q47:Q50)</f>
        <v>0</v>
      </c>
      <c r="R46" s="107">
        <f ca="1">SUMPRODUCT(N47:N50,R47:R50)</f>
        <v>0</v>
      </c>
      <c r="S46" s="107">
        <f ca="1">R46*N46</f>
        <v>0</v>
      </c>
      <c r="T46" s="107">
        <f>AVERAGE(T47:T50)</f>
        <v>0</v>
      </c>
      <c r="U46" s="107">
        <f>N46*T46</f>
        <v>0</v>
      </c>
      <c r="V46" s="108" t="str">
        <f ca="1">IF(T46=R46,"완료",IF(T46&lt;R46,"지연","초과"))</f>
        <v>완료</v>
      </c>
    </row>
    <row r="47" spans="1:22" outlineLevel="2">
      <c r="A47" s="2">
        <v>3</v>
      </c>
      <c r="B47" s="2" t="s">
        <v>14</v>
      </c>
      <c r="C47" s="2">
        <v>3.6</v>
      </c>
      <c r="D47" s="4" t="s">
        <v>384</v>
      </c>
      <c r="E47" s="2" t="s">
        <v>166</v>
      </c>
      <c r="F47" s="8" t="s">
        <v>388</v>
      </c>
      <c r="G47" s="72" t="s">
        <v>391</v>
      </c>
      <c r="H47" s="72"/>
      <c r="I47" s="2" t="s">
        <v>7</v>
      </c>
      <c r="K47" s="98">
        <v>45211</v>
      </c>
      <c r="L47" s="98">
        <v>45212</v>
      </c>
      <c r="M47" s="97">
        <f>NETWORKDAYS.INTL(K47,L47,1,기초데이터_삭제불가!$B$3:$B$16)</f>
        <v>2</v>
      </c>
      <c r="N47" s="99">
        <f>M47/$M$46</f>
        <v>0.2857142857142857</v>
      </c>
      <c r="O47" s="98"/>
      <c r="P47" s="98"/>
      <c r="Q47" s="97">
        <f>NETWORKDAYS.INTL(O47,P47,1,기초데이터_삭제불가!$B$3:$B$16)</f>
        <v>0</v>
      </c>
      <c r="R47" s="100">
        <f t="shared" ca="1" si="30"/>
        <v>0</v>
      </c>
      <c r="S47" s="101">
        <f t="shared" ca="1" si="31"/>
        <v>0</v>
      </c>
      <c r="T47" s="100">
        <v>0</v>
      </c>
      <c r="U47" s="101">
        <f t="shared" ref="U47:U50" si="47">N47*T47</f>
        <v>0</v>
      </c>
      <c r="V47" s="102" t="str">
        <f t="shared" ref="V47:V50" ca="1" si="48">IF(T47=R47,"완료",IF(T47&lt;R47,"지연","초과"))</f>
        <v>완료</v>
      </c>
    </row>
    <row r="48" spans="1:22" outlineLevel="2">
      <c r="A48" s="2">
        <v>3</v>
      </c>
      <c r="B48" s="2" t="s">
        <v>14</v>
      </c>
      <c r="C48" s="2">
        <v>3.6</v>
      </c>
      <c r="D48" s="4" t="s">
        <v>385</v>
      </c>
      <c r="E48" s="2" t="s">
        <v>167</v>
      </c>
      <c r="F48" s="4" t="s">
        <v>389</v>
      </c>
      <c r="G48" s="63" t="s">
        <v>392</v>
      </c>
      <c r="H48" s="63"/>
      <c r="I48" s="2" t="s">
        <v>7</v>
      </c>
      <c r="K48" s="98">
        <v>45211</v>
      </c>
      <c r="L48" s="98">
        <v>45212</v>
      </c>
      <c r="M48" s="97">
        <f>NETWORKDAYS.INTL(K48,L48,1,기초데이터_삭제불가!$B$3:$B$16)</f>
        <v>2</v>
      </c>
      <c r="N48" s="99">
        <f t="shared" ref="N48" si="49">M48/$M$46</f>
        <v>0.2857142857142857</v>
      </c>
      <c r="O48" s="98"/>
      <c r="P48" s="98"/>
      <c r="Q48" s="97">
        <f>NETWORKDAYS.INTL(O48,P48,1,기초데이터_삭제불가!$B$3:$B$16)</f>
        <v>0</v>
      </c>
      <c r="R48" s="100">
        <f t="shared" ref="R48" ca="1" si="50">IF($L$2&gt;=L48,1,IF($L$2&lt;K48,0,(($L$2-K48)+1)/(M48)))</f>
        <v>0</v>
      </c>
      <c r="S48" s="101">
        <f t="shared" ref="S48" ca="1" si="51">R48*N48</f>
        <v>0</v>
      </c>
      <c r="T48" s="100">
        <v>0</v>
      </c>
      <c r="U48" s="101">
        <f t="shared" ref="U48" si="52">N48*T48</f>
        <v>0</v>
      </c>
      <c r="V48" s="102" t="str">
        <f t="shared" ref="V48" ca="1" si="53">IF(T48=R48,"완료",IF(T48&lt;R48,"지연","초과"))</f>
        <v>완료</v>
      </c>
    </row>
    <row r="49" spans="1:22" outlineLevel="2">
      <c r="A49" s="2">
        <v>3</v>
      </c>
      <c r="B49" s="2" t="s">
        <v>14</v>
      </c>
      <c r="C49" s="2">
        <v>3.6</v>
      </c>
      <c r="D49" s="4" t="s">
        <v>386</v>
      </c>
      <c r="E49" s="2" t="s">
        <v>167</v>
      </c>
      <c r="F49" s="4" t="s">
        <v>390</v>
      </c>
      <c r="G49" s="63" t="s">
        <v>393</v>
      </c>
      <c r="H49" s="63"/>
      <c r="I49" s="2" t="s">
        <v>7</v>
      </c>
      <c r="K49" s="98">
        <v>45211</v>
      </c>
      <c r="L49" s="98">
        <v>45212</v>
      </c>
      <c r="M49" s="97">
        <f>NETWORKDAYS.INTL(K49,L49,1,기초데이터_삭제불가!$B$3:$B$16)</f>
        <v>2</v>
      </c>
      <c r="N49" s="99">
        <f t="shared" ref="N49:N50" si="54">M49/$M$46</f>
        <v>0.2857142857142857</v>
      </c>
      <c r="O49" s="98"/>
      <c r="P49" s="98"/>
      <c r="Q49" s="97">
        <f>NETWORKDAYS.INTL(O49,P49,1,기초데이터_삭제불가!$B$3:$B$16)</f>
        <v>0</v>
      </c>
      <c r="R49" s="100">
        <f t="shared" ca="1" si="30"/>
        <v>0</v>
      </c>
      <c r="S49" s="101">
        <f t="shared" ca="1" si="31"/>
        <v>0</v>
      </c>
      <c r="T49" s="100">
        <v>0</v>
      </c>
      <c r="U49" s="101">
        <f t="shared" si="47"/>
        <v>0</v>
      </c>
      <c r="V49" s="102" t="str">
        <f t="shared" ca="1" si="48"/>
        <v>완료</v>
      </c>
    </row>
    <row r="50" spans="1:22" outlineLevel="2">
      <c r="A50" s="2">
        <v>3</v>
      </c>
      <c r="B50" s="2" t="s">
        <v>14</v>
      </c>
      <c r="C50" s="2">
        <v>3.6</v>
      </c>
      <c r="D50" s="4" t="s">
        <v>387</v>
      </c>
      <c r="E50" s="2" t="s">
        <v>168</v>
      </c>
      <c r="F50" s="8" t="s">
        <v>395</v>
      </c>
      <c r="G50" s="70" t="s">
        <v>55</v>
      </c>
      <c r="I50" s="2" t="s">
        <v>207</v>
      </c>
      <c r="K50" s="98">
        <v>45212</v>
      </c>
      <c r="L50" s="98">
        <v>45212</v>
      </c>
      <c r="M50" s="97">
        <f>NETWORKDAYS.INTL(K50,L50,1,기초데이터_삭제불가!$B$3:$B$16)</f>
        <v>1</v>
      </c>
      <c r="N50" s="99">
        <f t="shared" si="54"/>
        <v>0.14285714285714285</v>
      </c>
      <c r="O50" s="98"/>
      <c r="P50" s="98"/>
      <c r="Q50" s="97">
        <f>NETWORKDAYS.INTL(O50,P50,1,기초데이터_삭제불가!$B$3:$B$16)</f>
        <v>0</v>
      </c>
      <c r="R50" s="100">
        <f t="shared" ca="1" si="30"/>
        <v>0</v>
      </c>
      <c r="S50" s="101">
        <f t="shared" ca="1" si="31"/>
        <v>0</v>
      </c>
      <c r="T50" s="100">
        <v>0</v>
      </c>
      <c r="U50" s="101">
        <f t="shared" si="47"/>
        <v>0</v>
      </c>
      <c r="V50" s="102" t="str">
        <f t="shared" ca="1" si="48"/>
        <v>완료</v>
      </c>
    </row>
    <row r="51" spans="1:22" outlineLevel="1">
      <c r="A51" s="43">
        <v>3</v>
      </c>
      <c r="B51" s="43" t="s">
        <v>14</v>
      </c>
      <c r="C51" s="46">
        <v>3.8</v>
      </c>
      <c r="D51" s="42" t="s">
        <v>303</v>
      </c>
      <c r="E51" s="43"/>
      <c r="F51" s="51"/>
      <c r="G51" s="71"/>
      <c r="H51" s="71"/>
      <c r="I51" s="43" t="s">
        <v>8</v>
      </c>
      <c r="J51" s="43"/>
      <c r="K51" s="104">
        <f>MIN(K52:K55)</f>
        <v>45203</v>
      </c>
      <c r="L51" s="104">
        <f>MAX(L52:L55)</f>
        <v>45222</v>
      </c>
      <c r="M51" s="105">
        <f>SUM(M52:M55)</f>
        <v>30</v>
      </c>
      <c r="N51" s="106">
        <f t="shared" ref="N51:N56" si="55">M51/$M$21</f>
        <v>0.21428571428571427</v>
      </c>
      <c r="O51" s="104">
        <f>MIN(O52:O55)</f>
        <v>0</v>
      </c>
      <c r="P51" s="104">
        <f>MAX(P52:P55)</f>
        <v>0</v>
      </c>
      <c r="Q51" s="105">
        <f>SUM(Q52:Q55)</f>
        <v>0</v>
      </c>
      <c r="R51" s="107">
        <f ca="1">SUMPRODUCT(N52:N55,R52:R55)</f>
        <v>0</v>
      </c>
      <c r="S51" s="107">
        <f ca="1">R51*N51</f>
        <v>0</v>
      </c>
      <c r="T51" s="107">
        <f>AVERAGE(T52:T55)</f>
        <v>0</v>
      </c>
      <c r="U51" s="107">
        <f>N51*T51</f>
        <v>0</v>
      </c>
      <c r="V51" s="108" t="str">
        <f ca="1">IF(T51=R51,"완료",IF(T51&lt;R51,"지연","초과"))</f>
        <v>완료</v>
      </c>
    </row>
    <row r="52" spans="1:22" s="55" customFormat="1" outlineLevel="2">
      <c r="A52" s="45">
        <v>3</v>
      </c>
      <c r="B52" s="45" t="s">
        <v>14</v>
      </c>
      <c r="C52" s="45">
        <v>3.8</v>
      </c>
      <c r="D52" s="58" t="s">
        <v>295</v>
      </c>
      <c r="E52" s="45" t="s">
        <v>193</v>
      </c>
      <c r="F52" s="59" t="s">
        <v>297</v>
      </c>
      <c r="G52" s="73" t="s">
        <v>23</v>
      </c>
      <c r="H52" s="73"/>
      <c r="I52" s="45" t="s">
        <v>8</v>
      </c>
      <c r="J52" s="45"/>
      <c r="K52" s="98">
        <v>45203</v>
      </c>
      <c r="L52" s="98">
        <v>45212</v>
      </c>
      <c r="M52" s="113">
        <f>NETWORKDAYS.INTL(K52,L52,1,기초데이터_삭제불가!$B$3:$B$16)</f>
        <v>7</v>
      </c>
      <c r="N52" s="114">
        <f t="shared" ref="N52:N55" si="56">M52/$M$51</f>
        <v>0.23333333333333334</v>
      </c>
      <c r="O52" s="103"/>
      <c r="P52" s="103"/>
      <c r="Q52" s="113">
        <f>NETWORKDAYS.INTL(O52,P52,1,기초데이터_삭제불가!$B$3:$B$16)</f>
        <v>0</v>
      </c>
      <c r="R52" s="115">
        <f t="shared" ref="R52:R55" ca="1" si="57">IF($L$2&gt;=L52,1,IF($L$2&lt;K52,0,(($L$2-K52)+1)/(M52)))</f>
        <v>0</v>
      </c>
      <c r="S52" s="116">
        <f t="shared" ref="S52:S55" ca="1" si="58">R52*N52</f>
        <v>0</v>
      </c>
      <c r="T52" s="115">
        <v>0</v>
      </c>
      <c r="U52" s="116">
        <f t="shared" ref="U52:U55" si="59">N52*T52</f>
        <v>0</v>
      </c>
      <c r="V52" s="102" t="str">
        <f t="shared" ref="V52:V55" ca="1" si="60">IF(T52=R52,"완료",IF(T52&lt;R52,"지연","초과"))</f>
        <v>완료</v>
      </c>
    </row>
    <row r="53" spans="1:22" s="55" customFormat="1" outlineLevel="2">
      <c r="A53" s="45">
        <v>3</v>
      </c>
      <c r="B53" s="45" t="s">
        <v>14</v>
      </c>
      <c r="C53" s="45">
        <v>3.8</v>
      </c>
      <c r="D53" s="58" t="s">
        <v>296</v>
      </c>
      <c r="E53" s="45" t="s">
        <v>136</v>
      </c>
      <c r="F53" s="59" t="s">
        <v>298</v>
      </c>
      <c r="G53" s="73" t="s">
        <v>23</v>
      </c>
      <c r="H53" s="73"/>
      <c r="I53" s="45" t="s">
        <v>8</v>
      </c>
      <c r="J53" s="45"/>
      <c r="K53" s="98">
        <v>45203</v>
      </c>
      <c r="L53" s="98">
        <v>45219</v>
      </c>
      <c r="M53" s="113">
        <f>NETWORKDAYS.INTL(K53,L53,1,기초데이터_삭제불가!$B$3:$B$16)</f>
        <v>12</v>
      </c>
      <c r="N53" s="114">
        <f t="shared" si="56"/>
        <v>0.4</v>
      </c>
      <c r="O53" s="103"/>
      <c r="P53" s="103"/>
      <c r="Q53" s="113">
        <f>NETWORKDAYS.INTL(O53,P53,1,기초데이터_삭제불가!$B$3:$B$16)</f>
        <v>0</v>
      </c>
      <c r="R53" s="115">
        <f t="shared" ca="1" si="57"/>
        <v>0</v>
      </c>
      <c r="S53" s="116">
        <f t="shared" ca="1" si="58"/>
        <v>0</v>
      </c>
      <c r="T53" s="115">
        <v>0</v>
      </c>
      <c r="U53" s="116">
        <f t="shared" si="59"/>
        <v>0</v>
      </c>
      <c r="V53" s="102" t="str">
        <f t="shared" ca="1" si="60"/>
        <v>완료</v>
      </c>
    </row>
    <row r="54" spans="1:22" s="55" customFormat="1" outlineLevel="2">
      <c r="A54" s="45">
        <v>3</v>
      </c>
      <c r="B54" s="45" t="s">
        <v>14</v>
      </c>
      <c r="C54" s="45">
        <v>3.8</v>
      </c>
      <c r="D54" s="58" t="s">
        <v>299</v>
      </c>
      <c r="E54" s="45" t="s">
        <v>137</v>
      </c>
      <c r="F54" s="58" t="s">
        <v>300</v>
      </c>
      <c r="G54" s="73" t="s">
        <v>23</v>
      </c>
      <c r="H54" s="73"/>
      <c r="I54" s="45" t="s">
        <v>8</v>
      </c>
      <c r="J54" s="45"/>
      <c r="K54" s="98">
        <v>45215</v>
      </c>
      <c r="L54" s="98">
        <v>45219</v>
      </c>
      <c r="M54" s="113">
        <f>NETWORKDAYS.INTL(K54,L54,1,기초데이터_삭제불가!$B$3:$B$16)</f>
        <v>5</v>
      </c>
      <c r="N54" s="114">
        <f t="shared" si="56"/>
        <v>0.16666666666666666</v>
      </c>
      <c r="O54" s="103"/>
      <c r="P54" s="103"/>
      <c r="Q54" s="113">
        <f>NETWORKDAYS.INTL(O54,P54,1,기초데이터_삭제불가!$B$3:$B$16)</f>
        <v>0</v>
      </c>
      <c r="R54" s="115">
        <f t="shared" ca="1" si="57"/>
        <v>0</v>
      </c>
      <c r="S54" s="116">
        <f t="shared" ca="1" si="58"/>
        <v>0</v>
      </c>
      <c r="T54" s="115">
        <v>0</v>
      </c>
      <c r="U54" s="116">
        <f t="shared" si="59"/>
        <v>0</v>
      </c>
      <c r="V54" s="102" t="str">
        <f t="shared" ca="1" si="60"/>
        <v>완료</v>
      </c>
    </row>
    <row r="55" spans="1:22" s="55" customFormat="1" outlineLevel="2">
      <c r="A55" s="45">
        <v>3</v>
      </c>
      <c r="B55" s="45" t="s">
        <v>14</v>
      </c>
      <c r="C55" s="45">
        <v>3.8</v>
      </c>
      <c r="D55" s="58" t="s">
        <v>301</v>
      </c>
      <c r="E55" s="45" t="s">
        <v>138</v>
      </c>
      <c r="F55" s="58" t="s">
        <v>302</v>
      </c>
      <c r="G55" s="73" t="s">
        <v>55</v>
      </c>
      <c r="H55" s="73"/>
      <c r="I55" s="45" t="s">
        <v>207</v>
      </c>
      <c r="J55" s="45"/>
      <c r="K55" s="98">
        <v>45215</v>
      </c>
      <c r="L55" s="98">
        <v>45222</v>
      </c>
      <c r="M55" s="113">
        <f>NETWORKDAYS.INTL(K55,L55,1,기초데이터_삭제불가!$B$3:$B$16)</f>
        <v>6</v>
      </c>
      <c r="N55" s="114">
        <f t="shared" si="56"/>
        <v>0.2</v>
      </c>
      <c r="O55" s="103"/>
      <c r="P55" s="103"/>
      <c r="Q55" s="113">
        <f>NETWORKDAYS.INTL(O55,P55,1,기초데이터_삭제불가!$B$3:$B$16)</f>
        <v>0</v>
      </c>
      <c r="R55" s="115">
        <f t="shared" ca="1" si="57"/>
        <v>0</v>
      </c>
      <c r="S55" s="116">
        <f t="shared" ca="1" si="58"/>
        <v>0</v>
      </c>
      <c r="T55" s="115">
        <v>0</v>
      </c>
      <c r="U55" s="116">
        <f t="shared" si="59"/>
        <v>0</v>
      </c>
      <c r="V55" s="102" t="str">
        <f t="shared" ca="1" si="60"/>
        <v>완료</v>
      </c>
    </row>
    <row r="56" spans="1:22" outlineLevel="1">
      <c r="A56" s="43">
        <v>3</v>
      </c>
      <c r="B56" s="43" t="s">
        <v>14</v>
      </c>
      <c r="C56" s="57">
        <v>3.1</v>
      </c>
      <c r="D56" s="42" t="s">
        <v>24</v>
      </c>
      <c r="E56" s="43"/>
      <c r="F56" s="44"/>
      <c r="G56" s="71"/>
      <c r="H56" s="71"/>
      <c r="I56" s="43" t="s">
        <v>8</v>
      </c>
      <c r="J56" s="43"/>
      <c r="K56" s="104">
        <f>MIN(K57:K58)</f>
        <v>45223</v>
      </c>
      <c r="L56" s="104">
        <f>MAX(L57:L58)</f>
        <v>45224</v>
      </c>
      <c r="M56" s="105">
        <f>SUM(M57:M58)</f>
        <v>3</v>
      </c>
      <c r="N56" s="106">
        <f t="shared" si="55"/>
        <v>2.1428571428571429E-2</v>
      </c>
      <c r="O56" s="104">
        <f>MIN(O57:O58)</f>
        <v>0</v>
      </c>
      <c r="P56" s="104">
        <f>MAX(P57:P58)</f>
        <v>0</v>
      </c>
      <c r="Q56" s="105">
        <f>SUM(Q57:Q58)</f>
        <v>0</v>
      </c>
      <c r="R56" s="107">
        <f ca="1">SUMPRODUCT(N57:N58,R57:R58)</f>
        <v>0</v>
      </c>
      <c r="S56" s="107">
        <f ca="1">R56*N56</f>
        <v>0</v>
      </c>
      <c r="T56" s="107">
        <f>AVERAGE(T57:T58)</f>
        <v>0</v>
      </c>
      <c r="U56" s="107">
        <f>N56*T56</f>
        <v>0</v>
      </c>
      <c r="V56" s="108" t="str">
        <f ca="1">IF(T56=R56,"완료",IF(T56&lt;R56,"지연","초과"))</f>
        <v>완료</v>
      </c>
    </row>
    <row r="57" spans="1:22" outlineLevel="2">
      <c r="A57" s="2">
        <v>3</v>
      </c>
      <c r="B57" s="2" t="s">
        <v>14</v>
      </c>
      <c r="C57" s="56">
        <v>3.1</v>
      </c>
      <c r="D57" s="4" t="s">
        <v>38</v>
      </c>
      <c r="E57" s="2" t="s">
        <v>169</v>
      </c>
      <c r="F57" s="4" t="s">
        <v>132</v>
      </c>
      <c r="G57" s="63" t="s">
        <v>155</v>
      </c>
      <c r="H57" s="63"/>
      <c r="I57" s="2" t="s">
        <v>8</v>
      </c>
      <c r="K57" s="98">
        <v>45223</v>
      </c>
      <c r="L57" s="98">
        <v>45224</v>
      </c>
      <c r="M57" s="97">
        <f>NETWORKDAYS.INTL(K57,L57,1,기초데이터_삭제불가!$B$3:$B$16)</f>
        <v>2</v>
      </c>
      <c r="N57" s="99">
        <f>M57/$M$56</f>
        <v>0.66666666666666663</v>
      </c>
      <c r="O57" s="98"/>
      <c r="P57" s="98"/>
      <c r="Q57" s="97">
        <f>NETWORKDAYS.INTL(O57,P57,1,기초데이터_삭제불가!$B$3:$B$16)</f>
        <v>0</v>
      </c>
      <c r="R57" s="100">
        <f t="shared" ref="R57:R58" ca="1" si="61">IF($L$2&gt;=L57,1,IF($L$2&lt;K57,0,(($L$2-K57)+1)/(M57)))</f>
        <v>0</v>
      </c>
      <c r="S57" s="101">
        <f t="shared" ref="S57:S58" ca="1" si="62">R57*N57</f>
        <v>0</v>
      </c>
      <c r="T57" s="100">
        <v>0</v>
      </c>
      <c r="U57" s="101">
        <f t="shared" ref="U57:U58" si="63">N57*T57</f>
        <v>0</v>
      </c>
      <c r="V57" s="102" t="str">
        <f t="shared" ref="V57:V58" ca="1" si="64">IF(T57=R57,"완료",IF(T57&lt;R57,"지연","초과"))</f>
        <v>완료</v>
      </c>
    </row>
    <row r="58" spans="1:22" outlineLevel="2">
      <c r="A58" s="2">
        <v>3</v>
      </c>
      <c r="B58" s="2" t="s">
        <v>14</v>
      </c>
      <c r="C58" s="56">
        <v>3.1</v>
      </c>
      <c r="D58" s="4" t="s">
        <v>39</v>
      </c>
      <c r="E58" s="2" t="s">
        <v>170</v>
      </c>
      <c r="F58" s="8" t="s">
        <v>396</v>
      </c>
      <c r="G58" s="70" t="s">
        <v>55</v>
      </c>
      <c r="I58" s="2" t="s">
        <v>207</v>
      </c>
      <c r="K58" s="98">
        <v>45224</v>
      </c>
      <c r="L58" s="98">
        <v>45224</v>
      </c>
      <c r="M58" s="97">
        <f>NETWORKDAYS.INTL(K58,L58,1,기초데이터_삭제불가!$B$3:$B$16)</f>
        <v>1</v>
      </c>
      <c r="N58" s="99">
        <f t="shared" ref="N58" si="65">M58/$M$56</f>
        <v>0.33333333333333331</v>
      </c>
      <c r="O58" s="98"/>
      <c r="P58" s="98"/>
      <c r="Q58" s="97">
        <f>NETWORKDAYS.INTL(O58,P58,1,기초데이터_삭제불가!$B$3:$B$16)</f>
        <v>0</v>
      </c>
      <c r="R58" s="100">
        <f t="shared" ca="1" si="61"/>
        <v>0</v>
      </c>
      <c r="S58" s="101">
        <f t="shared" ca="1" si="62"/>
        <v>0</v>
      </c>
      <c r="T58" s="100">
        <v>0</v>
      </c>
      <c r="U58" s="101">
        <f t="shared" si="63"/>
        <v>0</v>
      </c>
      <c r="V58" s="102" t="str">
        <f t="shared" ca="1" si="64"/>
        <v>완료</v>
      </c>
    </row>
    <row r="59" spans="1:22" outlineLevel="1">
      <c r="A59" s="43">
        <v>3</v>
      </c>
      <c r="B59" s="43" t="s">
        <v>14</v>
      </c>
      <c r="C59" s="46">
        <v>3.12</v>
      </c>
      <c r="D59" s="42" t="s">
        <v>304</v>
      </c>
      <c r="E59" s="43"/>
      <c r="F59" s="44"/>
      <c r="G59" s="71"/>
      <c r="H59" s="71"/>
      <c r="I59" s="43" t="s">
        <v>9</v>
      </c>
      <c r="J59" s="43"/>
      <c r="K59" s="104">
        <f>MIN(K60:K64)</f>
        <v>45204</v>
      </c>
      <c r="L59" s="104">
        <f>MAX(L60:L64)</f>
        <v>45237</v>
      </c>
      <c r="M59" s="105">
        <f>SUM(M60:M64)</f>
        <v>20</v>
      </c>
      <c r="N59" s="106">
        <f t="shared" ref="N59:N65" si="66">M59/$M$21</f>
        <v>0.14285714285714285</v>
      </c>
      <c r="O59" s="104">
        <f>MIN(O60:O64)</f>
        <v>0</v>
      </c>
      <c r="P59" s="104">
        <f>MAX(P60:P64)</f>
        <v>0</v>
      </c>
      <c r="Q59" s="105">
        <f>SUM(Q60:Q64)</f>
        <v>0</v>
      </c>
      <c r="R59" s="107">
        <f ca="1">SUMPRODUCT(N60:N64,R60:R64)</f>
        <v>0</v>
      </c>
      <c r="S59" s="107">
        <f ca="1">R59*N59</f>
        <v>0</v>
      </c>
      <c r="T59" s="107">
        <f>AVERAGE(T60:T64)</f>
        <v>0</v>
      </c>
      <c r="U59" s="107">
        <f>N59*T59</f>
        <v>0</v>
      </c>
      <c r="V59" s="108" t="str">
        <f ca="1">IF(T59=R59,"완료",IF(T59&lt;R59,"지연","초과"))</f>
        <v>완료</v>
      </c>
    </row>
    <row r="60" spans="1:22" outlineLevel="2">
      <c r="A60" s="2">
        <v>3</v>
      </c>
      <c r="B60" s="2" t="s">
        <v>14</v>
      </c>
      <c r="C60" s="13">
        <v>3.12</v>
      </c>
      <c r="D60" s="10" t="s">
        <v>305</v>
      </c>
      <c r="E60" s="2" t="s">
        <v>194</v>
      </c>
      <c r="F60" s="8" t="s">
        <v>397</v>
      </c>
      <c r="G60" s="73" t="s">
        <v>54</v>
      </c>
      <c r="H60" s="73"/>
      <c r="I60" s="45" t="s">
        <v>9</v>
      </c>
      <c r="J60" s="45"/>
      <c r="K60" s="98">
        <v>45204</v>
      </c>
      <c r="L60" s="103">
        <v>45210</v>
      </c>
      <c r="M60" s="113">
        <f>NETWORKDAYS.INTL(K60,L60,1,기초데이터_삭제불가!$B$3:$B$16)</f>
        <v>4</v>
      </c>
      <c r="N60" s="114">
        <f t="shared" ref="N60:N64" si="67">M60/$M$59</f>
        <v>0.2</v>
      </c>
      <c r="O60" s="103"/>
      <c r="P60" s="103"/>
      <c r="Q60" s="97">
        <f>NETWORKDAYS.INTL(O60,P60,1,기초데이터_삭제불가!$B$3:$B$16)</f>
        <v>0</v>
      </c>
      <c r="R60" s="100">
        <f t="shared" ref="R60:R64" ca="1" si="68">IF($L$2&gt;=L60,1,IF($L$2&lt;K60,0,(($L$2-K60)+1)/(M60)))</f>
        <v>0</v>
      </c>
      <c r="S60" s="101">
        <f t="shared" ref="S60:S64" ca="1" si="69">R60*N60</f>
        <v>0</v>
      </c>
      <c r="T60" s="100">
        <v>0</v>
      </c>
      <c r="U60" s="101">
        <f t="shared" ref="U60:U64" si="70">N60*T60</f>
        <v>0</v>
      </c>
      <c r="V60" s="102" t="str">
        <f t="shared" ref="V60:V64" ca="1" si="71">IF(T60=R60,"완료",IF(T60&lt;R60,"지연","초과"))</f>
        <v>완료</v>
      </c>
    </row>
    <row r="61" spans="1:22" outlineLevel="2">
      <c r="A61" s="2">
        <v>3</v>
      </c>
      <c r="B61" s="2" t="s">
        <v>14</v>
      </c>
      <c r="C61" s="13">
        <v>3.12</v>
      </c>
      <c r="D61" s="10" t="s">
        <v>399</v>
      </c>
      <c r="E61" s="2" t="s">
        <v>37</v>
      </c>
      <c r="F61" s="8" t="s">
        <v>401</v>
      </c>
      <c r="G61" s="73" t="s">
        <v>54</v>
      </c>
      <c r="H61" s="73"/>
      <c r="I61" s="45" t="s">
        <v>9</v>
      </c>
      <c r="J61" s="45"/>
      <c r="K61" s="98">
        <v>45215</v>
      </c>
      <c r="L61" s="98">
        <v>45219</v>
      </c>
      <c r="M61" s="113">
        <f>NETWORKDAYS.INTL(K61,L61,1,기초데이터_삭제불가!$B$3:$B$16)</f>
        <v>5</v>
      </c>
      <c r="N61" s="114">
        <f t="shared" si="67"/>
        <v>0.25</v>
      </c>
      <c r="O61" s="103"/>
      <c r="P61" s="103"/>
      <c r="Q61" s="97">
        <f>NETWORKDAYS.INTL(O61,P61,1,기초데이터_삭제불가!$B$3:$B$16)</f>
        <v>0</v>
      </c>
      <c r="R61" s="100">
        <f t="shared" ca="1" si="68"/>
        <v>0</v>
      </c>
      <c r="S61" s="101">
        <f t="shared" ca="1" si="69"/>
        <v>0</v>
      </c>
      <c r="T61" s="100">
        <v>0</v>
      </c>
      <c r="U61" s="101">
        <f t="shared" si="70"/>
        <v>0</v>
      </c>
      <c r="V61" s="102" t="str">
        <f t="shared" ca="1" si="71"/>
        <v>완료</v>
      </c>
    </row>
    <row r="62" spans="1:22" outlineLevel="2">
      <c r="A62" s="2">
        <v>3</v>
      </c>
      <c r="B62" s="2" t="s">
        <v>14</v>
      </c>
      <c r="C62" s="13">
        <v>3.12</v>
      </c>
      <c r="D62" s="10" t="s">
        <v>400</v>
      </c>
      <c r="E62" s="2" t="s">
        <v>61</v>
      </c>
      <c r="F62" s="58" t="s">
        <v>402</v>
      </c>
      <c r="G62" s="73" t="s">
        <v>54</v>
      </c>
      <c r="H62" s="73"/>
      <c r="I62" s="45" t="s">
        <v>9</v>
      </c>
      <c r="J62" s="45"/>
      <c r="K62" s="98">
        <v>45223</v>
      </c>
      <c r="L62" s="98">
        <v>45226</v>
      </c>
      <c r="M62" s="113">
        <f>NETWORKDAYS.INTL(K62,L62,1,기초데이터_삭제불가!$B$3:$B$16)</f>
        <v>4</v>
      </c>
      <c r="N62" s="114">
        <f t="shared" si="67"/>
        <v>0.2</v>
      </c>
      <c r="O62" s="103"/>
      <c r="P62" s="103"/>
      <c r="Q62" s="97">
        <f>NETWORKDAYS.INTL(O62,P62,1,기초데이터_삭제불가!$B$3:$B$16)</f>
        <v>0</v>
      </c>
      <c r="R62" s="100">
        <f t="shared" ca="1" si="68"/>
        <v>0</v>
      </c>
      <c r="S62" s="101">
        <f t="shared" ca="1" si="69"/>
        <v>0</v>
      </c>
      <c r="T62" s="100">
        <v>0</v>
      </c>
      <c r="U62" s="101">
        <f t="shared" si="70"/>
        <v>0</v>
      </c>
      <c r="V62" s="102" t="str">
        <f t="shared" ca="1" si="71"/>
        <v>완료</v>
      </c>
    </row>
    <row r="63" spans="1:22" outlineLevel="2">
      <c r="A63" s="2">
        <v>3</v>
      </c>
      <c r="B63" s="2" t="s">
        <v>14</v>
      </c>
      <c r="C63" s="13">
        <v>3.12</v>
      </c>
      <c r="D63" s="10" t="s">
        <v>306</v>
      </c>
      <c r="E63" s="2" t="s">
        <v>62</v>
      </c>
      <c r="F63" s="8" t="s">
        <v>300</v>
      </c>
      <c r="G63" s="73" t="s">
        <v>54</v>
      </c>
      <c r="H63" s="73"/>
      <c r="I63" s="45" t="s">
        <v>9</v>
      </c>
      <c r="J63" s="45"/>
      <c r="K63" s="98">
        <v>45229</v>
      </c>
      <c r="L63" s="103">
        <v>45233</v>
      </c>
      <c r="M63" s="113">
        <f>NETWORKDAYS.INTL(K63,L63,1,기초데이터_삭제불가!$B$3:$B$16)</f>
        <v>5</v>
      </c>
      <c r="N63" s="114">
        <f t="shared" si="67"/>
        <v>0.25</v>
      </c>
      <c r="O63" s="103"/>
      <c r="P63" s="103"/>
      <c r="Q63" s="97">
        <f>NETWORKDAYS.INTL(O63,P63,1,기초데이터_삭제불가!$B$3:$B$16)</f>
        <v>0</v>
      </c>
      <c r="R63" s="100">
        <f t="shared" ca="1" si="68"/>
        <v>0</v>
      </c>
      <c r="S63" s="101">
        <f t="shared" ca="1" si="69"/>
        <v>0</v>
      </c>
      <c r="T63" s="100">
        <v>0</v>
      </c>
      <c r="U63" s="101">
        <f t="shared" si="70"/>
        <v>0</v>
      </c>
      <c r="V63" s="102" t="str">
        <f t="shared" ca="1" si="71"/>
        <v>완료</v>
      </c>
    </row>
    <row r="64" spans="1:22" outlineLevel="2">
      <c r="A64" s="2">
        <v>3</v>
      </c>
      <c r="B64" s="2" t="s">
        <v>14</v>
      </c>
      <c r="C64" s="13">
        <v>3.12</v>
      </c>
      <c r="D64" s="10" t="s">
        <v>398</v>
      </c>
      <c r="E64" s="2" t="s">
        <v>63</v>
      </c>
      <c r="F64" s="58" t="s">
        <v>404</v>
      </c>
      <c r="G64" s="73" t="s">
        <v>55</v>
      </c>
      <c r="H64" s="73"/>
      <c r="I64" s="2" t="s">
        <v>207</v>
      </c>
      <c r="J64" s="45"/>
      <c r="K64" s="103">
        <v>45236</v>
      </c>
      <c r="L64" s="103">
        <v>45237</v>
      </c>
      <c r="M64" s="113">
        <f>NETWORKDAYS.INTL(K64,L64,1,기초데이터_삭제불가!$B$3:$B$16)</f>
        <v>2</v>
      </c>
      <c r="N64" s="114">
        <f t="shared" si="67"/>
        <v>0.1</v>
      </c>
      <c r="O64" s="103"/>
      <c r="P64" s="103"/>
      <c r="Q64" s="97">
        <f>NETWORKDAYS.INTL(O64,P64,1,기초데이터_삭제불가!$B$3:$B$16)</f>
        <v>0</v>
      </c>
      <c r="R64" s="100">
        <f t="shared" ca="1" si="68"/>
        <v>0</v>
      </c>
      <c r="S64" s="101">
        <f t="shared" ca="1" si="69"/>
        <v>0</v>
      </c>
      <c r="T64" s="100">
        <v>0</v>
      </c>
      <c r="U64" s="101">
        <f t="shared" si="70"/>
        <v>0</v>
      </c>
      <c r="V64" s="102" t="str">
        <f t="shared" ca="1" si="71"/>
        <v>완료</v>
      </c>
    </row>
    <row r="65" spans="1:22" outlineLevel="1">
      <c r="A65" s="43">
        <v>3</v>
      </c>
      <c r="B65" s="43" t="s">
        <v>14</v>
      </c>
      <c r="C65" s="46">
        <v>3.14</v>
      </c>
      <c r="D65" s="42" t="s">
        <v>133</v>
      </c>
      <c r="E65" s="43"/>
      <c r="F65" s="51"/>
      <c r="G65" s="71"/>
      <c r="H65" s="71"/>
      <c r="I65" s="43" t="s">
        <v>9</v>
      </c>
      <c r="J65" s="43"/>
      <c r="K65" s="104">
        <f>MIN(K66:K67)</f>
        <v>45238</v>
      </c>
      <c r="L65" s="104">
        <f>MAX(L66:L67)</f>
        <v>45239</v>
      </c>
      <c r="M65" s="105">
        <f>SUM(M66:M67)</f>
        <v>3</v>
      </c>
      <c r="N65" s="106">
        <f t="shared" si="66"/>
        <v>2.1428571428571429E-2</v>
      </c>
      <c r="O65" s="104">
        <f>MIN(O66:O67)</f>
        <v>0</v>
      </c>
      <c r="P65" s="104">
        <f>MAX(P66:P67)</f>
        <v>0</v>
      </c>
      <c r="Q65" s="105">
        <f>SUM(Q66:Q67)</f>
        <v>0</v>
      </c>
      <c r="R65" s="107">
        <f ca="1">SUMPRODUCT(N66:N67,R66:R67)</f>
        <v>0</v>
      </c>
      <c r="S65" s="107">
        <f ca="1">R65*N65</f>
        <v>0</v>
      </c>
      <c r="T65" s="107">
        <f>AVERAGE(T66:T67)</f>
        <v>0</v>
      </c>
      <c r="U65" s="107">
        <f>N65*T65</f>
        <v>0</v>
      </c>
      <c r="V65" s="108" t="str">
        <f ca="1">IF(T65=R65,"완료",IF(T65&lt;R65,"지연","초과"))</f>
        <v>완료</v>
      </c>
    </row>
    <row r="66" spans="1:22" outlineLevel="2">
      <c r="A66" s="2">
        <v>3</v>
      </c>
      <c r="B66" s="2" t="s">
        <v>14</v>
      </c>
      <c r="C66" s="2">
        <v>3.14</v>
      </c>
      <c r="D66" s="10" t="s">
        <v>46</v>
      </c>
      <c r="E66" s="2" t="s">
        <v>171</v>
      </c>
      <c r="F66" s="10" t="s">
        <v>46</v>
      </c>
      <c r="G66" s="70" t="s">
        <v>307</v>
      </c>
      <c r="H66" s="63"/>
      <c r="I66" s="2" t="s">
        <v>9</v>
      </c>
      <c r="K66" s="103">
        <v>45238</v>
      </c>
      <c r="L66" s="103">
        <v>45239</v>
      </c>
      <c r="M66" s="97">
        <f>NETWORKDAYS.INTL(K66,L66,1,기초데이터_삭제불가!$B$3:$B$16)</f>
        <v>2</v>
      </c>
      <c r="N66" s="99">
        <f t="shared" ref="N66:N67" si="72">M66/$M$65</f>
        <v>0.66666666666666663</v>
      </c>
      <c r="O66" s="98"/>
      <c r="P66" s="98"/>
      <c r="Q66" s="97">
        <f>NETWORKDAYS.INTL(O66,P66,1,기초데이터_삭제불가!$B$3:$B$16)</f>
        <v>0</v>
      </c>
      <c r="R66" s="100">
        <f t="shared" ref="R66:R67" ca="1" si="73">IF($L$2&gt;=L66,1,IF($L$2&lt;K66,0,(($L$2-K66)+1)/(M66)))</f>
        <v>0</v>
      </c>
      <c r="S66" s="101">
        <f t="shared" ref="S66:S67" ca="1" si="74">R66*N66</f>
        <v>0</v>
      </c>
      <c r="T66" s="100">
        <v>0</v>
      </c>
      <c r="U66" s="101">
        <f t="shared" ref="U66:U67" si="75">N66*T66</f>
        <v>0</v>
      </c>
      <c r="V66" s="102" t="str">
        <f t="shared" ref="V66:V67" ca="1" si="76">IF(T66=R66,"완료",IF(T66&lt;R66,"지연","초과"))</f>
        <v>완료</v>
      </c>
    </row>
    <row r="67" spans="1:22" outlineLevel="2">
      <c r="A67" s="2">
        <v>3</v>
      </c>
      <c r="B67" s="2" t="s">
        <v>14</v>
      </c>
      <c r="C67" s="2">
        <v>3.14</v>
      </c>
      <c r="D67" s="10" t="s">
        <v>47</v>
      </c>
      <c r="E67" s="2" t="s">
        <v>172</v>
      </c>
      <c r="F67" s="10" t="s">
        <v>403</v>
      </c>
      <c r="G67" s="70" t="s">
        <v>55</v>
      </c>
      <c r="I67" s="2" t="s">
        <v>9</v>
      </c>
      <c r="K67" s="103">
        <v>45239</v>
      </c>
      <c r="L67" s="103">
        <v>45239</v>
      </c>
      <c r="M67" s="97">
        <f>NETWORKDAYS.INTL(K67,L67,1,기초데이터_삭제불가!$B$3:$B$16)</f>
        <v>1</v>
      </c>
      <c r="N67" s="99">
        <f t="shared" si="72"/>
        <v>0.33333333333333331</v>
      </c>
      <c r="O67" s="98"/>
      <c r="P67" s="98"/>
      <c r="Q67" s="97">
        <f>NETWORKDAYS.INTL(O67,P67,1,기초데이터_삭제불가!$B$3:$B$16)</f>
        <v>0</v>
      </c>
      <c r="R67" s="100">
        <f t="shared" ca="1" si="73"/>
        <v>0</v>
      </c>
      <c r="S67" s="101">
        <f t="shared" ca="1" si="74"/>
        <v>0</v>
      </c>
      <c r="T67" s="100">
        <v>0</v>
      </c>
      <c r="U67" s="101">
        <f t="shared" si="75"/>
        <v>0</v>
      </c>
      <c r="V67" s="102" t="str">
        <f t="shared" ca="1" si="76"/>
        <v>완료</v>
      </c>
    </row>
    <row r="68" spans="1:22" outlineLevel="1">
      <c r="A68" s="43">
        <v>3</v>
      </c>
      <c r="B68" s="43" t="s">
        <v>14</v>
      </c>
      <c r="C68" s="46">
        <v>3.16</v>
      </c>
      <c r="D68" s="42" t="s">
        <v>308</v>
      </c>
      <c r="E68" s="43"/>
      <c r="F68" s="44"/>
      <c r="G68" s="71"/>
      <c r="H68" s="64"/>
      <c r="I68" s="43" t="s">
        <v>10</v>
      </c>
      <c r="J68" s="43"/>
      <c r="K68" s="104">
        <f>MIN(K69:K77)</f>
        <v>0</v>
      </c>
      <c r="L68" s="104">
        <f>MAX(L69:L77)</f>
        <v>0</v>
      </c>
      <c r="M68" s="105">
        <f>SUM(M69:M77)</f>
        <v>0</v>
      </c>
      <c r="N68" s="106">
        <f t="shared" ref="N68" si="77">M68/$M$21</f>
        <v>0</v>
      </c>
      <c r="O68" s="104">
        <f>MIN(O69:O77)</f>
        <v>0</v>
      </c>
      <c r="P68" s="104">
        <f>MAX(P69:P77)</f>
        <v>0</v>
      </c>
      <c r="Q68" s="105">
        <f>SUM(Q69:Q77)</f>
        <v>0</v>
      </c>
      <c r="R68" s="107" t="e">
        <f>SUMPRODUCT(N69:N77,R69:R77)</f>
        <v>#REF!</v>
      </c>
      <c r="S68" s="107" t="e">
        <f>R68*N68</f>
        <v>#REF!</v>
      </c>
      <c r="T68" s="107">
        <f>AVERAGE(T69:T77)</f>
        <v>0.1111111111111111</v>
      </c>
      <c r="U68" s="107">
        <f>N68*T68</f>
        <v>0</v>
      </c>
      <c r="V68" s="108" t="e">
        <f>IF(T68=R68,"완료",IF(T68&lt;R68,"지연","초과"))</f>
        <v>#REF!</v>
      </c>
    </row>
    <row r="69" spans="1:22" outlineLevel="2">
      <c r="A69" s="2">
        <v>3</v>
      </c>
      <c r="B69" s="2" t="s">
        <v>14</v>
      </c>
      <c r="C69" s="2">
        <v>3.16</v>
      </c>
      <c r="D69" s="4" t="s">
        <v>49</v>
      </c>
      <c r="E69" s="2" t="s">
        <v>173</v>
      </c>
      <c r="F69" s="4" t="s">
        <v>41</v>
      </c>
      <c r="G69" s="73" t="s">
        <v>57</v>
      </c>
      <c r="H69" s="73"/>
      <c r="I69" s="45" t="s">
        <v>10</v>
      </c>
      <c r="J69" s="45"/>
      <c r="K69" s="98"/>
      <c r="L69" s="98"/>
      <c r="M69" s="113">
        <f>NETWORKDAYS.INTL(K69,L69,1,기초데이터_삭제불가!$B$3:$B$16)</f>
        <v>0</v>
      </c>
      <c r="N69" s="114" t="e">
        <f>M69/#REF!</f>
        <v>#REF!</v>
      </c>
      <c r="O69" s="98"/>
      <c r="P69" s="98"/>
      <c r="Q69" s="97">
        <f>NETWORKDAYS.INTL(O69,P69,1,기초데이터_삭제불가!$B$3:$B$16)</f>
        <v>0</v>
      </c>
      <c r="R69" s="100">
        <f t="shared" ref="R69" ca="1" si="78">IF($L$2&gt;=L69,1,IF($L$2&lt;K69,0,(($L$2-K69)+1)/(M69)))</f>
        <v>1</v>
      </c>
      <c r="S69" s="101" t="e">
        <f t="shared" ref="S69:S77" ca="1" si="79">R69*N69</f>
        <v>#REF!</v>
      </c>
      <c r="T69" s="100">
        <v>0</v>
      </c>
      <c r="U69" s="101" t="e">
        <f t="shared" ref="U69:U77" si="80">N69*T69</f>
        <v>#REF!</v>
      </c>
      <c r="V69" s="102" t="str">
        <f t="shared" ref="V69:V77" ca="1" si="81">IF(T69=R69,"완료",IF(T69&lt;R69,"지연","초과"))</f>
        <v>지연</v>
      </c>
    </row>
    <row r="70" spans="1:22" outlineLevel="2">
      <c r="A70" s="2">
        <v>3</v>
      </c>
      <c r="B70" s="2" t="s">
        <v>14</v>
      </c>
      <c r="C70" s="2">
        <v>3.16</v>
      </c>
      <c r="D70" s="4" t="s">
        <v>183</v>
      </c>
      <c r="E70" s="2" t="s">
        <v>48</v>
      </c>
      <c r="F70" s="4" t="s">
        <v>182</v>
      </c>
      <c r="G70" s="73" t="s">
        <v>181</v>
      </c>
      <c r="H70" s="62"/>
      <c r="I70" s="45" t="s">
        <v>10</v>
      </c>
      <c r="J70" s="45"/>
      <c r="K70" s="98"/>
      <c r="L70" s="98"/>
      <c r="M70" s="113">
        <f>NETWORKDAYS.INTL(K70,L70,1,기초데이터_삭제불가!$B$3:$B$16)</f>
        <v>0</v>
      </c>
      <c r="N70" s="114" t="e">
        <f>M70/#REF!</f>
        <v>#REF!</v>
      </c>
      <c r="O70" s="98"/>
      <c r="P70" s="98"/>
      <c r="Q70" s="97">
        <f>NETWORKDAYS.INTL(O70,P70,1,기초데이터_삭제불가!$B$3:$B$16)</f>
        <v>0</v>
      </c>
      <c r="R70" s="100">
        <f t="shared" ref="R70:R77" ca="1" si="82">IF($L$2&gt;=L70,1,IF($L$2&lt;K70,0,(($L$2-K70)+1)/(M70)))</f>
        <v>1</v>
      </c>
      <c r="S70" s="101" t="e">
        <f t="shared" ca="1" si="79"/>
        <v>#REF!</v>
      </c>
      <c r="T70" s="100">
        <v>0</v>
      </c>
      <c r="U70" s="101" t="e">
        <f t="shared" si="80"/>
        <v>#REF!</v>
      </c>
      <c r="V70" s="102" t="str">
        <f t="shared" ca="1" si="81"/>
        <v>지연</v>
      </c>
    </row>
    <row r="71" spans="1:22" outlineLevel="2">
      <c r="A71" s="2">
        <v>3</v>
      </c>
      <c r="B71" s="2" t="s">
        <v>14</v>
      </c>
      <c r="C71" s="2">
        <v>3.16</v>
      </c>
      <c r="D71" s="7" t="s">
        <v>50</v>
      </c>
      <c r="E71" s="2" t="s">
        <v>174</v>
      </c>
      <c r="F71" s="4" t="s">
        <v>42</v>
      </c>
      <c r="G71" s="73" t="s">
        <v>58</v>
      </c>
      <c r="H71" s="73"/>
      <c r="I71" s="45" t="s">
        <v>10</v>
      </c>
      <c r="J71" s="45"/>
      <c r="K71" s="98"/>
      <c r="L71" s="98"/>
      <c r="M71" s="113">
        <f>NETWORKDAYS.INTL(K71,L71,1,기초데이터_삭제불가!$B$3:$B$16)</f>
        <v>0</v>
      </c>
      <c r="N71" s="114" t="e">
        <f>M71/#REF!</f>
        <v>#REF!</v>
      </c>
      <c r="O71" s="103"/>
      <c r="P71" s="103"/>
      <c r="Q71" s="97">
        <f>NETWORKDAYS.INTL(O71,P71,1,기초데이터_삭제불가!$B$3:$B$16)</f>
        <v>0</v>
      </c>
      <c r="R71" s="100">
        <f t="shared" ca="1" si="82"/>
        <v>1</v>
      </c>
      <c r="S71" s="101" t="e">
        <f t="shared" ca="1" si="79"/>
        <v>#REF!</v>
      </c>
      <c r="T71" s="100">
        <v>0</v>
      </c>
      <c r="U71" s="101" t="e">
        <f t="shared" si="80"/>
        <v>#REF!</v>
      </c>
      <c r="V71" s="102" t="str">
        <f t="shared" ca="1" si="81"/>
        <v>지연</v>
      </c>
    </row>
    <row r="72" spans="1:22" outlineLevel="2">
      <c r="A72" s="2">
        <v>3</v>
      </c>
      <c r="B72" s="2" t="s">
        <v>14</v>
      </c>
      <c r="C72" s="2">
        <v>3.16</v>
      </c>
      <c r="D72" s="7" t="s">
        <v>22</v>
      </c>
      <c r="E72" s="2" t="s">
        <v>175</v>
      </c>
      <c r="F72" s="7" t="s">
        <v>188</v>
      </c>
      <c r="G72" s="78" t="s">
        <v>188</v>
      </c>
      <c r="H72" s="73"/>
      <c r="I72" s="45" t="s">
        <v>10</v>
      </c>
      <c r="J72" s="45"/>
      <c r="K72" s="98"/>
      <c r="L72" s="98"/>
      <c r="M72" s="113">
        <f>NETWORKDAYS.INTL(K72,L72,1,기초데이터_삭제불가!$B$3:$B$16)</f>
        <v>0</v>
      </c>
      <c r="N72" s="114" t="e">
        <f>M72/#REF!</f>
        <v>#REF!</v>
      </c>
      <c r="O72" s="98"/>
      <c r="P72" s="98"/>
      <c r="Q72" s="97">
        <f>NETWORKDAYS.INTL(O72,P72,1,기초데이터_삭제불가!$B$3:$B$16)</f>
        <v>0</v>
      </c>
      <c r="R72" s="100">
        <f ca="1">IF($L$2&gt;=L72,1,IF($L$2&lt;K72,0,(($L$2-K72)+1)/(M72)))</f>
        <v>1</v>
      </c>
      <c r="S72" s="101" t="e">
        <f ca="1">R72*N72</f>
        <v>#REF!</v>
      </c>
      <c r="T72" s="100">
        <v>0</v>
      </c>
      <c r="U72" s="101" t="e">
        <f>N72*T72</f>
        <v>#REF!</v>
      </c>
      <c r="V72" s="102" t="str">
        <f t="shared" ca="1" si="81"/>
        <v>지연</v>
      </c>
    </row>
    <row r="73" spans="1:22" outlineLevel="2">
      <c r="A73" s="2">
        <v>3</v>
      </c>
      <c r="B73" s="2" t="s">
        <v>14</v>
      </c>
      <c r="C73" s="2">
        <v>3.16</v>
      </c>
      <c r="D73" s="7" t="s">
        <v>22</v>
      </c>
      <c r="E73" s="2" t="s">
        <v>176</v>
      </c>
      <c r="F73" s="7" t="s">
        <v>189</v>
      </c>
      <c r="G73" s="78" t="s">
        <v>190</v>
      </c>
      <c r="H73" s="73"/>
      <c r="I73" s="45" t="s">
        <v>10</v>
      </c>
      <c r="J73" s="45"/>
      <c r="K73" s="98"/>
      <c r="L73" s="98"/>
      <c r="M73" s="113">
        <f>NETWORKDAYS.INTL(K73,L73,1,기초데이터_삭제불가!$B$3:$B$16)</f>
        <v>0</v>
      </c>
      <c r="N73" s="114" t="e">
        <f>M73/#REF!</f>
        <v>#REF!</v>
      </c>
      <c r="O73" s="98"/>
      <c r="P73" s="98"/>
      <c r="Q73" s="97">
        <f>NETWORKDAYS.INTL(O73,P73,1,기초데이터_삭제불가!$B$3:$B$16)</f>
        <v>0</v>
      </c>
      <c r="R73" s="100">
        <f ca="1">IF($L$2&gt;=L73,1,IF($L$2&lt;K73,0,(($L$2-K73)+1)/(M73)))</f>
        <v>1</v>
      </c>
      <c r="S73" s="101" t="e">
        <f ca="1">R73*N73</f>
        <v>#REF!</v>
      </c>
      <c r="T73" s="100">
        <v>0</v>
      </c>
      <c r="U73" s="101" t="e">
        <f>N73*T73</f>
        <v>#REF!</v>
      </c>
      <c r="V73" s="102" t="str">
        <f t="shared" ca="1" si="81"/>
        <v>지연</v>
      </c>
    </row>
    <row r="74" spans="1:22" outlineLevel="2">
      <c r="A74" s="2">
        <v>3</v>
      </c>
      <c r="B74" s="2" t="s">
        <v>14</v>
      </c>
      <c r="C74" s="2">
        <v>3.16</v>
      </c>
      <c r="D74" s="7" t="s">
        <v>22</v>
      </c>
      <c r="E74" s="2" t="s">
        <v>177</v>
      </c>
      <c r="F74" s="4" t="s">
        <v>184</v>
      </c>
      <c r="G74" s="73" t="s">
        <v>185</v>
      </c>
      <c r="H74" s="73"/>
      <c r="I74" s="45" t="s">
        <v>10</v>
      </c>
      <c r="J74" s="45"/>
      <c r="K74" s="98"/>
      <c r="L74" s="98"/>
      <c r="M74" s="113">
        <f>NETWORKDAYS.INTL(K74,L74,1,기초데이터_삭제불가!$B$3:$B$16)</f>
        <v>0</v>
      </c>
      <c r="N74" s="114" t="e">
        <f>M74/#REF!</f>
        <v>#REF!</v>
      </c>
      <c r="O74" s="103"/>
      <c r="P74" s="103"/>
      <c r="Q74" s="97">
        <f>NETWORKDAYS.INTL(O74,P74,1,기초데이터_삭제불가!$B$3:$B$16)</f>
        <v>0</v>
      </c>
      <c r="R74" s="100">
        <f t="shared" ca="1" si="82"/>
        <v>1</v>
      </c>
      <c r="S74" s="101" t="e">
        <f t="shared" ca="1" si="79"/>
        <v>#REF!</v>
      </c>
      <c r="T74" s="100">
        <v>0</v>
      </c>
      <c r="U74" s="101" t="e">
        <f t="shared" si="80"/>
        <v>#REF!</v>
      </c>
      <c r="V74" s="102" t="str">
        <f t="shared" ca="1" si="81"/>
        <v>지연</v>
      </c>
    </row>
    <row r="75" spans="1:22" outlineLevel="2">
      <c r="A75" s="2">
        <v>3</v>
      </c>
      <c r="B75" s="2" t="s">
        <v>14</v>
      </c>
      <c r="C75" s="2">
        <v>3.16</v>
      </c>
      <c r="D75" s="7" t="s">
        <v>22</v>
      </c>
      <c r="E75" s="2" t="s">
        <v>178</v>
      </c>
      <c r="F75" s="4" t="s">
        <v>186</v>
      </c>
      <c r="G75" s="73" t="s">
        <v>187</v>
      </c>
      <c r="H75" s="73"/>
      <c r="I75" s="45" t="s">
        <v>10</v>
      </c>
      <c r="J75" s="45"/>
      <c r="K75" s="98"/>
      <c r="L75" s="98"/>
      <c r="M75" s="113">
        <f>NETWORKDAYS.INTL(K75,L75,1,기초데이터_삭제불가!$B$3:$B$16)</f>
        <v>0</v>
      </c>
      <c r="N75" s="114" t="e">
        <f>M75/#REF!</f>
        <v>#REF!</v>
      </c>
      <c r="O75" s="103"/>
      <c r="P75" s="103"/>
      <c r="Q75" s="97">
        <f>NETWORKDAYS.INTL(O75,P75,1,기초데이터_삭제불가!$B$3:$B$16)</f>
        <v>0</v>
      </c>
      <c r="R75" s="100">
        <f t="shared" ref="R75" ca="1" si="83">IF($L$2&gt;=L75,1,IF($L$2&lt;K75,0,(($L$2-K75)+1)/(M75)))</f>
        <v>1</v>
      </c>
      <c r="S75" s="101" t="e">
        <f t="shared" ref="S75" ca="1" si="84">R75*N75</f>
        <v>#REF!</v>
      </c>
      <c r="T75" s="100">
        <v>0</v>
      </c>
      <c r="U75" s="101" t="e">
        <f t="shared" ref="U75" si="85">N75*T75</f>
        <v>#REF!</v>
      </c>
      <c r="V75" s="102" t="str">
        <f t="shared" ca="1" si="81"/>
        <v>지연</v>
      </c>
    </row>
    <row r="76" spans="1:22" outlineLevel="2">
      <c r="A76" s="2">
        <v>3</v>
      </c>
      <c r="B76" s="2" t="s">
        <v>14</v>
      </c>
      <c r="C76" s="2">
        <v>3.16</v>
      </c>
      <c r="D76" s="4" t="s">
        <v>43</v>
      </c>
      <c r="E76" s="2" t="s">
        <v>179</v>
      </c>
      <c r="F76" s="4" t="s">
        <v>156</v>
      </c>
      <c r="G76" s="73" t="s">
        <v>59</v>
      </c>
      <c r="H76" s="62"/>
      <c r="I76" s="45" t="s">
        <v>10</v>
      </c>
      <c r="J76" s="45"/>
      <c r="K76" s="98"/>
      <c r="L76" s="98"/>
      <c r="M76" s="113">
        <f>NETWORKDAYS.INTL(K76,L76,1,기초데이터_삭제불가!$B$3:$B$16)</f>
        <v>0</v>
      </c>
      <c r="N76" s="114" t="e">
        <f>M76/#REF!</f>
        <v>#REF!</v>
      </c>
      <c r="O76" s="98"/>
      <c r="P76" s="98"/>
      <c r="Q76" s="97">
        <f>NETWORKDAYS.INTL(O76,P76,1,기초데이터_삭제불가!$B$3:$B$16)</f>
        <v>0</v>
      </c>
      <c r="R76" s="100">
        <f t="shared" ca="1" si="82"/>
        <v>1</v>
      </c>
      <c r="S76" s="101" t="e">
        <f t="shared" ca="1" si="79"/>
        <v>#REF!</v>
      </c>
      <c r="T76" s="100">
        <v>1</v>
      </c>
      <c r="U76" s="101" t="e">
        <f t="shared" si="80"/>
        <v>#REF!</v>
      </c>
      <c r="V76" s="102" t="str">
        <f t="shared" ca="1" si="81"/>
        <v>완료</v>
      </c>
    </row>
    <row r="77" spans="1:22" outlineLevel="2">
      <c r="A77" s="2">
        <v>3</v>
      </c>
      <c r="B77" s="2" t="s">
        <v>14</v>
      </c>
      <c r="C77" s="2">
        <v>3.16</v>
      </c>
      <c r="D77" s="4" t="s">
        <v>51</v>
      </c>
      <c r="E77" s="2" t="s">
        <v>180</v>
      </c>
      <c r="F77" s="4" t="s">
        <v>53</v>
      </c>
      <c r="G77" s="73" t="s">
        <v>60</v>
      </c>
      <c r="H77" s="73"/>
      <c r="I77" s="45" t="s">
        <v>10</v>
      </c>
      <c r="J77" s="45"/>
      <c r="K77" s="98"/>
      <c r="L77" s="103"/>
      <c r="M77" s="113">
        <f>NETWORKDAYS.INTL(K77,L77,1,기초데이터_삭제불가!$B$3:$B$16)</f>
        <v>0</v>
      </c>
      <c r="N77" s="114" t="e">
        <f>M77/#REF!</f>
        <v>#REF!</v>
      </c>
      <c r="O77" s="103"/>
      <c r="P77" s="103"/>
      <c r="Q77" s="97">
        <f>NETWORKDAYS.INTL(O77,P77,1,기초데이터_삭제불가!$B$3:$B$16)</f>
        <v>0</v>
      </c>
      <c r="R77" s="100">
        <f t="shared" ca="1" si="82"/>
        <v>1</v>
      </c>
      <c r="S77" s="101" t="e">
        <f t="shared" ca="1" si="79"/>
        <v>#REF!</v>
      </c>
      <c r="T77" s="100">
        <v>0</v>
      </c>
      <c r="U77" s="101" t="e">
        <f t="shared" si="80"/>
        <v>#REF!</v>
      </c>
      <c r="V77" s="102" t="str">
        <f t="shared" ca="1" si="81"/>
        <v>지연</v>
      </c>
    </row>
    <row r="78" spans="1:22" outlineLevel="1">
      <c r="A78" s="43">
        <v>3</v>
      </c>
      <c r="B78" s="43" t="s">
        <v>14</v>
      </c>
      <c r="C78" s="52">
        <v>3.18</v>
      </c>
      <c r="D78" s="42" t="s">
        <v>67</v>
      </c>
      <c r="E78" s="43"/>
      <c r="F78" s="44"/>
      <c r="G78" s="71"/>
      <c r="H78" s="71"/>
      <c r="I78" s="43" t="s">
        <v>10</v>
      </c>
      <c r="J78" s="43"/>
      <c r="K78" s="104">
        <f>MIN(K79:K80)</f>
        <v>0</v>
      </c>
      <c r="L78" s="104">
        <f>MAX(L79:L80)</f>
        <v>0</v>
      </c>
      <c r="M78" s="105">
        <f>SUM(M79:M80)</f>
        <v>0</v>
      </c>
      <c r="N78" s="106">
        <f>M78/$M$21</f>
        <v>0</v>
      </c>
      <c r="O78" s="104">
        <f>MIN(O79:O80)</f>
        <v>0</v>
      </c>
      <c r="P78" s="104">
        <f>MAX(P79:P80)</f>
        <v>0</v>
      </c>
      <c r="Q78" s="105">
        <f>SUM(Q79:Q80)</f>
        <v>0</v>
      </c>
      <c r="R78" s="107">
        <f ca="1">SUMPRODUCT(N79:N80,R79:R80)</f>
        <v>0</v>
      </c>
      <c r="S78" s="107">
        <f ca="1">N78*R78</f>
        <v>0</v>
      </c>
      <c r="T78" s="107">
        <f>AVERAGE(T79:T80)</f>
        <v>0</v>
      </c>
      <c r="U78" s="107">
        <f>N78*T78</f>
        <v>0</v>
      </c>
      <c r="V78" s="108" t="str">
        <f ca="1">IF(T78=R78,"완료",IF(T78&lt;R78,"지연","초과"))</f>
        <v>완료</v>
      </c>
    </row>
    <row r="79" spans="1:22" s="55" customFormat="1" outlineLevel="2">
      <c r="A79" s="45">
        <v>3</v>
      </c>
      <c r="B79" s="45" t="s">
        <v>14</v>
      </c>
      <c r="C79" s="61">
        <v>3.18</v>
      </c>
      <c r="D79" s="58" t="s">
        <v>309</v>
      </c>
      <c r="E79" s="45" t="s">
        <v>164</v>
      </c>
      <c r="F79" s="58" t="s">
        <v>45</v>
      </c>
      <c r="G79" s="73" t="s">
        <v>44</v>
      </c>
      <c r="H79" s="73"/>
      <c r="I79" s="45" t="s">
        <v>311</v>
      </c>
      <c r="J79" s="45"/>
      <c r="K79" s="103"/>
      <c r="L79" s="103"/>
      <c r="M79" s="113">
        <f>NETWORKDAYS.INTL(K79,L79,1,기초데이터_삭제불가!$B$3:$B$16)</f>
        <v>0</v>
      </c>
      <c r="N79" s="114">
        <f>M79/$M$21</f>
        <v>0</v>
      </c>
      <c r="O79" s="103"/>
      <c r="P79" s="103"/>
      <c r="Q79" s="113">
        <f>NETWORKDAYS.INTL(O79,P79,1,기초데이터_삭제불가!$B$3:$B$16)</f>
        <v>0</v>
      </c>
      <c r="R79" s="115">
        <f t="shared" ref="R79:R80" ca="1" si="86">IF($L$2&gt;=L79,1,IF($L$2&lt;K79,0,(($L$2-K79)+1)/(M79)))</f>
        <v>1</v>
      </c>
      <c r="S79" s="116">
        <f t="shared" ref="S79:S80" ca="1" si="87">R79*N79</f>
        <v>0</v>
      </c>
      <c r="T79" s="115">
        <v>0</v>
      </c>
      <c r="U79" s="116">
        <f t="shared" ref="U79:U81" si="88">N79*T79</f>
        <v>0</v>
      </c>
      <c r="V79" s="102" t="str">
        <f t="shared" ref="V79:V80" ca="1" si="89">IF(T79=R79,"완료",IF(T79&lt;R79,"지연","완료"))</f>
        <v>지연</v>
      </c>
    </row>
    <row r="80" spans="1:22" s="55" customFormat="1" outlineLevel="2">
      <c r="A80" s="45">
        <v>3</v>
      </c>
      <c r="B80" s="45" t="s">
        <v>14</v>
      </c>
      <c r="C80" s="61">
        <v>3.18</v>
      </c>
      <c r="D80" s="10" t="s">
        <v>310</v>
      </c>
      <c r="E80" s="45" t="s">
        <v>165</v>
      </c>
      <c r="F80" s="58" t="s">
        <v>52</v>
      </c>
      <c r="G80" s="73" t="s">
        <v>55</v>
      </c>
      <c r="H80" s="73"/>
      <c r="I80" s="45" t="s">
        <v>10</v>
      </c>
      <c r="J80" s="45"/>
      <c r="K80" s="103"/>
      <c r="L80" s="103"/>
      <c r="M80" s="113">
        <f>NETWORKDAYS.INTL(K80,L80,1,기초데이터_삭제불가!$B$3:$B$16)</f>
        <v>0</v>
      </c>
      <c r="N80" s="114">
        <f>M80/$M$21</f>
        <v>0</v>
      </c>
      <c r="O80" s="103"/>
      <c r="P80" s="103"/>
      <c r="Q80" s="113">
        <f>NETWORKDAYS.INTL(O80,P80,1,기초데이터_삭제불가!$B$3:$B$16)</f>
        <v>0</v>
      </c>
      <c r="R80" s="115">
        <f t="shared" ca="1" si="86"/>
        <v>1</v>
      </c>
      <c r="S80" s="116">
        <f t="shared" ca="1" si="87"/>
        <v>0</v>
      </c>
      <c r="T80" s="115">
        <v>0</v>
      </c>
      <c r="U80" s="116">
        <f t="shared" si="88"/>
        <v>0</v>
      </c>
      <c r="V80" s="102" t="str">
        <f t="shared" ca="1" si="89"/>
        <v>지연</v>
      </c>
    </row>
    <row r="81" spans="1:22" ht="21.6" customHeight="1">
      <c r="A81" s="3">
        <v>4</v>
      </c>
      <c r="B81" s="3" t="s">
        <v>157</v>
      </c>
      <c r="C81" s="3"/>
      <c r="D81" s="5"/>
      <c r="E81" s="3"/>
      <c r="F81" s="5"/>
      <c r="G81" s="77"/>
      <c r="H81" s="65"/>
      <c r="I81" s="3"/>
      <c r="J81" s="3"/>
      <c r="K81" s="109">
        <f>MIN(K82:K104)</f>
        <v>45205</v>
      </c>
      <c r="L81" s="109">
        <f>MAX(L82:L104)</f>
        <v>45268</v>
      </c>
      <c r="M81" s="110">
        <f>SUM(M82,M89,M96)</f>
        <v>63</v>
      </c>
      <c r="N81" s="89">
        <f>M81/$M$6</f>
        <v>0.22419928825622776</v>
      </c>
      <c r="O81" s="109">
        <f>MIN(O82:O100)</f>
        <v>0</v>
      </c>
      <c r="P81" s="109">
        <f>MAX(P82:P100)</f>
        <v>0</v>
      </c>
      <c r="Q81" s="110" t="e">
        <f>SUM(#REF!,Q82,#REF!)</f>
        <v>#REF!</v>
      </c>
      <c r="R81" s="111" t="e">
        <f>AVERAGE(#REF!,R82,#REF!,#REF!,#REF!,#REF!,#REF!)</f>
        <v>#REF!</v>
      </c>
      <c r="S81" s="111" t="e">
        <f>N81*R81</f>
        <v>#REF!</v>
      </c>
      <c r="T81" s="111" t="e">
        <f>AVERAGE(#REF!,T82,#REF!,#REF!,#REF!,#REF!,#REF!)</f>
        <v>#REF!</v>
      </c>
      <c r="U81" s="111" t="e">
        <f t="shared" si="88"/>
        <v>#REF!</v>
      </c>
      <c r="V81" s="112" t="e">
        <f>IF(T81=R81,"완료",IF(T81&lt;R81,"지연","초과"))</f>
        <v>#REF!</v>
      </c>
    </row>
    <row r="82" spans="1:22" outlineLevel="1">
      <c r="A82" s="43">
        <v>4</v>
      </c>
      <c r="B82" s="43" t="s">
        <v>64</v>
      </c>
      <c r="C82" s="46">
        <v>4.0999999999999996</v>
      </c>
      <c r="D82" s="42" t="s">
        <v>66</v>
      </c>
      <c r="E82" s="43"/>
      <c r="F82" s="51"/>
      <c r="G82" s="71"/>
      <c r="H82" s="71"/>
      <c r="I82" s="43" t="s">
        <v>10</v>
      </c>
      <c r="J82" s="43"/>
      <c r="K82" s="104">
        <f>MIN(K83:K88)</f>
        <v>45205</v>
      </c>
      <c r="L82" s="104">
        <f>MAX(L83:L88)</f>
        <v>45240</v>
      </c>
      <c r="M82" s="105">
        <f>SUM(M83:M88)</f>
        <v>27</v>
      </c>
      <c r="N82" s="106">
        <f>M82/$M$81</f>
        <v>0.42857142857142855</v>
      </c>
      <c r="O82" s="104">
        <f>MIN(O83:O88)</f>
        <v>0</v>
      </c>
      <c r="P82" s="104">
        <f>MAX(P83:P88)</f>
        <v>0</v>
      </c>
      <c r="Q82" s="105">
        <f>SUM(Q83:Q88)</f>
        <v>0</v>
      </c>
      <c r="R82" s="107" t="e">
        <f ca="1">SUMPRODUCT(N83:N88,R82:R88)</f>
        <v>#VALUE!</v>
      </c>
      <c r="S82" s="107" t="e">
        <f ca="1">N82*R82</f>
        <v>#VALUE!</v>
      </c>
      <c r="T82" s="107">
        <f>AVERAGE(T83:T88)</f>
        <v>0</v>
      </c>
      <c r="U82" s="107">
        <f>N82*T82</f>
        <v>0</v>
      </c>
      <c r="V82" s="108" t="e">
        <f ca="1">IF(T82=R82,"완료",IF(T82&lt;R82,"지연","초과"))</f>
        <v>#VALUE!</v>
      </c>
    </row>
    <row r="83" spans="1:22" outlineLevel="2">
      <c r="A83" s="2">
        <v>4</v>
      </c>
      <c r="B83" s="2" t="s">
        <v>64</v>
      </c>
      <c r="C83" s="2">
        <v>4.0999999999999996</v>
      </c>
      <c r="D83" s="4" t="s">
        <v>68</v>
      </c>
      <c r="E83" s="2" t="s">
        <v>367</v>
      </c>
      <c r="F83" s="8" t="s">
        <v>312</v>
      </c>
      <c r="G83" s="73" t="s">
        <v>40</v>
      </c>
      <c r="H83" s="73"/>
      <c r="I83" s="45" t="s">
        <v>10</v>
      </c>
      <c r="J83" s="45"/>
      <c r="K83" s="103">
        <v>45205</v>
      </c>
      <c r="L83" s="103">
        <v>45212</v>
      </c>
      <c r="M83" s="113">
        <f>NETWORKDAYS.INTL(K83,L83,1,기초데이터_삭제불가!$B$3:$B$16)</f>
        <v>5</v>
      </c>
      <c r="N83" s="114">
        <f t="shared" ref="N83:N88" si="90">M83/$M$82</f>
        <v>0.18518518518518517</v>
      </c>
      <c r="O83" s="103"/>
      <c r="P83" s="103"/>
      <c r="Q83" s="97">
        <f>NETWORKDAYS.INTL(O83,P83,1,기초데이터_삭제불가!$B$3:$B$16)</f>
        <v>0</v>
      </c>
      <c r="R83" s="100">
        <f t="shared" ref="R83:R88" ca="1" si="91">IF($L$2&gt;=L83,1,IF($L$2&lt;K83,0,(($L$2-K83)+1)/(M83)))</f>
        <v>0</v>
      </c>
      <c r="S83" s="101">
        <f t="shared" ref="S83:S88" ca="1" si="92">R83*N83</f>
        <v>0</v>
      </c>
      <c r="T83" s="100">
        <v>0</v>
      </c>
      <c r="U83" s="101">
        <f t="shared" ref="U83:U88" si="93">N83*T83</f>
        <v>0</v>
      </c>
      <c r="V83" s="102" t="str">
        <f t="shared" ref="V83:V88" ca="1" si="94">IF(T83=R83,"완료",IF(T83&lt;R83,"지연","초과"))</f>
        <v>완료</v>
      </c>
    </row>
    <row r="84" spans="1:22" outlineLevel="2">
      <c r="A84" s="2">
        <v>4</v>
      </c>
      <c r="B84" s="2" t="s">
        <v>64</v>
      </c>
      <c r="C84" s="2">
        <v>4.0999999999999996</v>
      </c>
      <c r="D84" s="4" t="s">
        <v>17</v>
      </c>
      <c r="E84" s="2" t="s">
        <v>369</v>
      </c>
      <c r="F84" s="8" t="s">
        <v>313</v>
      </c>
      <c r="G84" s="73" t="s">
        <v>65</v>
      </c>
      <c r="H84" s="62"/>
      <c r="I84" s="45" t="s">
        <v>195</v>
      </c>
      <c r="J84" s="45"/>
      <c r="K84" s="103">
        <v>45215</v>
      </c>
      <c r="L84" s="103">
        <v>45216</v>
      </c>
      <c r="M84" s="113">
        <f>NETWORKDAYS.INTL(K84,L84,1,기초데이터_삭제불가!$B$3:$B$16)</f>
        <v>2</v>
      </c>
      <c r="N84" s="114">
        <f t="shared" ref="N84" si="95">M84/$M$82</f>
        <v>7.407407407407407E-2</v>
      </c>
      <c r="O84" s="103"/>
      <c r="P84" s="103"/>
      <c r="Q84" s="97">
        <f>NETWORKDAYS.INTL(O84,P84,1,기초데이터_삭제불가!$B$3:$B$16)</f>
        <v>0</v>
      </c>
      <c r="R84" s="100">
        <f t="shared" ref="R84" ca="1" si="96">IF($L$2&gt;=L84,1,IF($L$2&lt;K84,0,(($L$2-K84)+1)/(M84)))</f>
        <v>0</v>
      </c>
      <c r="S84" s="101">
        <f t="shared" ref="S84" ca="1" si="97">R84*N84</f>
        <v>0</v>
      </c>
      <c r="T84" s="100">
        <v>0</v>
      </c>
      <c r="U84" s="101">
        <f t="shared" ref="U84" si="98">N84*T84</f>
        <v>0</v>
      </c>
      <c r="V84" s="102" t="str">
        <f t="shared" ca="1" si="94"/>
        <v>완료</v>
      </c>
    </row>
    <row r="85" spans="1:22" outlineLevel="2">
      <c r="A85" s="2">
        <v>4</v>
      </c>
      <c r="B85" s="2" t="s">
        <v>64</v>
      </c>
      <c r="C85" s="2">
        <v>4.0999999999999996</v>
      </c>
      <c r="D85" s="4" t="s">
        <v>68</v>
      </c>
      <c r="E85" s="2" t="s">
        <v>69</v>
      </c>
      <c r="F85" s="8" t="s">
        <v>407</v>
      </c>
      <c r="G85" s="73" t="s">
        <v>40</v>
      </c>
      <c r="H85" s="73"/>
      <c r="I85" s="45" t="s">
        <v>10</v>
      </c>
      <c r="J85" s="45"/>
      <c r="K85" s="103">
        <v>45215</v>
      </c>
      <c r="L85" s="103">
        <v>45230</v>
      </c>
      <c r="M85" s="113">
        <f>NETWORKDAYS.INTL(K85,L85,1,기초데이터_삭제불가!$B$3:$B$16)</f>
        <v>12</v>
      </c>
      <c r="N85" s="114">
        <f t="shared" ref="N85" si="99">M85/$M$82</f>
        <v>0.44444444444444442</v>
      </c>
      <c r="O85" s="103"/>
      <c r="P85" s="103"/>
      <c r="Q85" s="97">
        <f>NETWORKDAYS.INTL(O85,P85,1,기초데이터_삭제불가!$B$3:$B$16)</f>
        <v>0</v>
      </c>
      <c r="R85" s="100">
        <f t="shared" ref="R85" ca="1" si="100">IF($L$2&gt;=L85,1,IF($L$2&lt;K85,0,(($L$2-K85)+1)/(M85)))</f>
        <v>0</v>
      </c>
      <c r="S85" s="101">
        <f t="shared" ref="S85" ca="1" si="101">R85*N85</f>
        <v>0</v>
      </c>
      <c r="T85" s="100">
        <v>0</v>
      </c>
      <c r="U85" s="101">
        <f t="shared" ref="U85" si="102">N85*T85</f>
        <v>0</v>
      </c>
      <c r="V85" s="102" t="str">
        <f t="shared" ca="1" si="94"/>
        <v>완료</v>
      </c>
    </row>
    <row r="86" spans="1:22" outlineLevel="2">
      <c r="A86" s="2">
        <v>4</v>
      </c>
      <c r="B86" s="2" t="s">
        <v>64</v>
      </c>
      <c r="C86" s="2">
        <v>4.0999999999999996</v>
      </c>
      <c r="D86" s="4" t="s">
        <v>17</v>
      </c>
      <c r="E86" s="2" t="s">
        <v>70</v>
      </c>
      <c r="F86" s="8" t="s">
        <v>408</v>
      </c>
      <c r="G86" s="73" t="s">
        <v>65</v>
      </c>
      <c r="H86" s="62"/>
      <c r="I86" s="45" t="s">
        <v>195</v>
      </c>
      <c r="J86" s="45"/>
      <c r="K86" s="103">
        <v>45231</v>
      </c>
      <c r="L86" s="103">
        <v>45232</v>
      </c>
      <c r="M86" s="113">
        <f>NETWORKDAYS.INTL(K86,L86,1,기초데이터_삭제불가!$B$3:$B$16)</f>
        <v>2</v>
      </c>
      <c r="N86" s="114">
        <f t="shared" si="90"/>
        <v>7.407407407407407E-2</v>
      </c>
      <c r="O86" s="103"/>
      <c r="P86" s="103"/>
      <c r="Q86" s="97">
        <f>NETWORKDAYS.INTL(O86,P86,1,기초데이터_삭제불가!$B$3:$B$16)</f>
        <v>0</v>
      </c>
      <c r="R86" s="100">
        <f t="shared" ca="1" si="91"/>
        <v>0</v>
      </c>
      <c r="S86" s="101">
        <f t="shared" ca="1" si="92"/>
        <v>0</v>
      </c>
      <c r="T86" s="100">
        <v>0</v>
      </c>
      <c r="U86" s="101">
        <f t="shared" si="93"/>
        <v>0</v>
      </c>
      <c r="V86" s="102" t="str">
        <f t="shared" ca="1" si="94"/>
        <v>완료</v>
      </c>
    </row>
    <row r="87" spans="1:22" outlineLevel="2">
      <c r="A87" s="2">
        <v>4</v>
      </c>
      <c r="B87" s="2" t="s">
        <v>64</v>
      </c>
      <c r="C87" s="2">
        <v>4.0999999999999996</v>
      </c>
      <c r="D87" s="4" t="s">
        <v>68</v>
      </c>
      <c r="E87" s="2" t="s">
        <v>405</v>
      </c>
      <c r="F87" s="8" t="s">
        <v>314</v>
      </c>
      <c r="G87" s="73" t="s">
        <v>40</v>
      </c>
      <c r="H87" s="73"/>
      <c r="I87" s="45" t="s">
        <v>10</v>
      </c>
      <c r="J87" s="45"/>
      <c r="K87" s="103">
        <v>45233</v>
      </c>
      <c r="L87" s="103">
        <v>45238</v>
      </c>
      <c r="M87" s="113">
        <f>NETWORKDAYS.INTL(K87,L87,1,기초데이터_삭제불가!$B$3:$B$16)</f>
        <v>4</v>
      </c>
      <c r="N87" s="114">
        <f t="shared" si="90"/>
        <v>0.14814814814814814</v>
      </c>
      <c r="O87" s="103"/>
      <c r="P87" s="103"/>
      <c r="Q87" s="97">
        <f>NETWORKDAYS.INTL(O87,P87,1,기초데이터_삭제불가!$B$3:$B$16)</f>
        <v>0</v>
      </c>
      <c r="R87" s="100">
        <f t="shared" ca="1" si="91"/>
        <v>0</v>
      </c>
      <c r="S87" s="101">
        <f t="shared" ca="1" si="92"/>
        <v>0</v>
      </c>
      <c r="T87" s="100">
        <v>0</v>
      </c>
      <c r="U87" s="101">
        <f t="shared" si="93"/>
        <v>0</v>
      </c>
      <c r="V87" s="102" t="str">
        <f t="shared" ca="1" si="94"/>
        <v>완료</v>
      </c>
    </row>
    <row r="88" spans="1:22" outlineLevel="2">
      <c r="A88" s="2">
        <v>4</v>
      </c>
      <c r="B88" s="2" t="s">
        <v>64</v>
      </c>
      <c r="C88" s="2">
        <v>4.0999999999999996</v>
      </c>
      <c r="D88" s="4" t="s">
        <v>17</v>
      </c>
      <c r="E88" s="2" t="s">
        <v>71</v>
      </c>
      <c r="F88" s="8" t="s">
        <v>315</v>
      </c>
      <c r="G88" s="73" t="s">
        <v>65</v>
      </c>
      <c r="H88" s="62"/>
      <c r="I88" s="45" t="s">
        <v>195</v>
      </c>
      <c r="J88" s="45"/>
      <c r="K88" s="103">
        <v>45239</v>
      </c>
      <c r="L88" s="103">
        <v>45240</v>
      </c>
      <c r="M88" s="113">
        <f>NETWORKDAYS.INTL(K88,L88,1,기초데이터_삭제불가!$B$3:$B$16)</f>
        <v>2</v>
      </c>
      <c r="N88" s="114">
        <f t="shared" si="90"/>
        <v>7.407407407407407E-2</v>
      </c>
      <c r="O88" s="103"/>
      <c r="P88" s="103"/>
      <c r="Q88" s="97">
        <f>NETWORKDAYS.INTL(O88,P88,1,기초데이터_삭제불가!$B$3:$B$16)</f>
        <v>0</v>
      </c>
      <c r="R88" s="100">
        <f t="shared" ca="1" si="91"/>
        <v>0</v>
      </c>
      <c r="S88" s="101">
        <f t="shared" ca="1" si="92"/>
        <v>0</v>
      </c>
      <c r="T88" s="100">
        <v>0</v>
      </c>
      <c r="U88" s="101">
        <f t="shared" si="93"/>
        <v>0</v>
      </c>
      <c r="V88" s="102" t="str">
        <f t="shared" ca="1" si="94"/>
        <v>완료</v>
      </c>
    </row>
    <row r="89" spans="1:22" outlineLevel="1">
      <c r="A89" s="43">
        <v>4</v>
      </c>
      <c r="B89" s="43" t="s">
        <v>64</v>
      </c>
      <c r="C89" s="46">
        <v>4.2</v>
      </c>
      <c r="D89" s="42" t="s">
        <v>316</v>
      </c>
      <c r="E89" s="43"/>
      <c r="F89" s="44"/>
      <c r="G89" s="71"/>
      <c r="H89" s="64"/>
      <c r="I89" s="43" t="s">
        <v>10</v>
      </c>
      <c r="J89" s="43"/>
      <c r="K89" s="104">
        <f>MIN(K90:K95)</f>
        <v>45222</v>
      </c>
      <c r="L89" s="104">
        <f>MAX(L90:L95)</f>
        <v>45240</v>
      </c>
      <c r="M89" s="105">
        <f>SUM(M90:M95)</f>
        <v>16</v>
      </c>
      <c r="N89" s="106">
        <f>M89/$M$81</f>
        <v>0.25396825396825395</v>
      </c>
      <c r="O89" s="104">
        <f>MIN(O90:O95)</f>
        <v>0</v>
      </c>
      <c r="P89" s="104">
        <f>MAX(P90:P95)</f>
        <v>0</v>
      </c>
      <c r="Q89" s="105">
        <f>SUM(Q90:Q95)</f>
        <v>0</v>
      </c>
      <c r="R89" s="107">
        <f ca="1">SUMPRODUCT(N90:N95,R90:R95)</f>
        <v>0</v>
      </c>
      <c r="S89" s="107">
        <f ca="1">N89*R89</f>
        <v>0</v>
      </c>
      <c r="T89" s="107">
        <f>AVERAGE(T90:T95)</f>
        <v>0</v>
      </c>
      <c r="U89" s="107">
        <f>N89*T89</f>
        <v>0</v>
      </c>
      <c r="V89" s="108" t="str">
        <f ca="1">IF(T89=R89,"완료",IF(T89&lt;R89,"지연","초과"))</f>
        <v>완료</v>
      </c>
    </row>
    <row r="90" spans="1:22" outlineLevel="2">
      <c r="A90" s="2">
        <v>4</v>
      </c>
      <c r="B90" s="2" t="s">
        <v>64</v>
      </c>
      <c r="C90" s="2">
        <v>4.2</v>
      </c>
      <c r="D90" s="4" t="s">
        <v>319</v>
      </c>
      <c r="E90" s="2" t="s">
        <v>370</v>
      </c>
      <c r="F90" s="58" t="s">
        <v>321</v>
      </c>
      <c r="G90" s="70" t="s">
        <v>40</v>
      </c>
      <c r="H90" s="63"/>
      <c r="I90" s="2" t="s">
        <v>10</v>
      </c>
      <c r="K90" s="103">
        <v>45222</v>
      </c>
      <c r="L90" s="103">
        <v>45226</v>
      </c>
      <c r="M90" s="97">
        <f>NETWORKDAYS.INTL(K90,L90,1,기초데이터_삭제불가!$B$3:$B$16)</f>
        <v>5</v>
      </c>
      <c r="N90" s="114">
        <f>M90/$M$89</f>
        <v>0.3125</v>
      </c>
      <c r="O90" s="98"/>
      <c r="P90" s="98"/>
      <c r="Q90" s="97">
        <f>NETWORKDAYS.INTL(O90,P90,1,기초데이터_삭제불가!$B$3:$B$16)</f>
        <v>0</v>
      </c>
      <c r="R90" s="100">
        <f ca="1">IF($L$2&gt;=L90,1,IF($L$2&lt;K90,0,(($L$2-K90)+1)/(M90)))</f>
        <v>0</v>
      </c>
      <c r="S90" s="101">
        <f t="shared" ref="S90:S95" ca="1" si="103">R90*N90</f>
        <v>0</v>
      </c>
      <c r="T90" s="100">
        <v>0</v>
      </c>
      <c r="U90" s="101">
        <f t="shared" ref="U90:U95" si="104">N90*T90</f>
        <v>0</v>
      </c>
      <c r="V90" s="102" t="str">
        <f ca="1">IF(T90=R90,"완료",IF(T90&lt;R90,"지연","초과"))</f>
        <v>완료</v>
      </c>
    </row>
    <row r="91" spans="1:22" outlineLevel="2">
      <c r="A91" s="2">
        <v>4</v>
      </c>
      <c r="B91" s="2" t="s">
        <v>64</v>
      </c>
      <c r="C91" s="2">
        <v>4.2</v>
      </c>
      <c r="D91" s="4" t="s">
        <v>17</v>
      </c>
      <c r="E91" s="2" t="s">
        <v>196</v>
      </c>
      <c r="F91" s="58" t="s">
        <v>322</v>
      </c>
      <c r="G91" s="73" t="s">
        <v>65</v>
      </c>
      <c r="H91" s="62"/>
      <c r="I91" s="45" t="s">
        <v>195</v>
      </c>
      <c r="J91" s="45"/>
      <c r="K91" s="103">
        <v>45229</v>
      </c>
      <c r="L91" s="103">
        <v>45230</v>
      </c>
      <c r="M91" s="113">
        <f>NETWORKDAYS.INTL(K91,L91,1,기초데이터_삭제불가!$B$3:$B$16)</f>
        <v>2</v>
      </c>
      <c r="N91" s="114">
        <f t="shared" ref="N91:N95" si="105">M91/$M$89</f>
        <v>0.125</v>
      </c>
      <c r="O91" s="103"/>
      <c r="P91" s="103"/>
      <c r="Q91" s="97">
        <f>NETWORKDAYS.INTL(O91,P91,1,기초데이터_삭제불가!$B$3:$B$16)</f>
        <v>0</v>
      </c>
      <c r="R91" s="100">
        <f t="shared" ref="R91:R95" ca="1" si="106">IF($L$2&gt;=L91,1,IF($L$2&lt;K91,0,(($L$2-K91)+1)/(M91)))</f>
        <v>0</v>
      </c>
      <c r="S91" s="101">
        <f t="shared" ca="1" si="103"/>
        <v>0</v>
      </c>
      <c r="T91" s="100">
        <v>0</v>
      </c>
      <c r="U91" s="101">
        <f t="shared" si="104"/>
        <v>0</v>
      </c>
      <c r="V91" s="102" t="str">
        <f t="shared" ref="V91:V95" ca="1" si="107">IF(T91=R91,"완료",IF(T91&lt;R91,"지연","초과"))</f>
        <v>완료</v>
      </c>
    </row>
    <row r="92" spans="1:22" outlineLevel="2">
      <c r="A92" s="2">
        <v>4</v>
      </c>
      <c r="B92" s="2" t="s">
        <v>64</v>
      </c>
      <c r="C92" s="2">
        <v>4.2</v>
      </c>
      <c r="D92" s="4" t="s">
        <v>320</v>
      </c>
      <c r="E92" s="2" t="s">
        <v>72</v>
      </c>
      <c r="F92" s="8" t="s">
        <v>409</v>
      </c>
      <c r="G92" s="73" t="s">
        <v>40</v>
      </c>
      <c r="H92" s="73"/>
      <c r="I92" s="45" t="s">
        <v>10</v>
      </c>
      <c r="J92" s="45"/>
      <c r="K92" s="103">
        <v>45238</v>
      </c>
      <c r="L92" s="103">
        <v>45239</v>
      </c>
      <c r="M92" s="113">
        <f>NETWORKDAYS.INTL(K92,L92,1,기초데이터_삭제불가!$B$3:$B$16)</f>
        <v>2</v>
      </c>
      <c r="N92" s="114">
        <f t="shared" si="105"/>
        <v>0.125</v>
      </c>
      <c r="O92" s="103"/>
      <c r="P92" s="103"/>
      <c r="Q92" s="97">
        <f>NETWORKDAYS.INTL(O92,P92,1,기초데이터_삭제불가!$B$3:$B$16)</f>
        <v>0</v>
      </c>
      <c r="R92" s="100">
        <f t="shared" ca="1" si="106"/>
        <v>0</v>
      </c>
      <c r="S92" s="101">
        <f t="shared" ca="1" si="103"/>
        <v>0</v>
      </c>
      <c r="T92" s="100">
        <v>0</v>
      </c>
      <c r="U92" s="101">
        <f t="shared" si="104"/>
        <v>0</v>
      </c>
      <c r="V92" s="102" t="str">
        <f t="shared" ca="1" si="107"/>
        <v>완료</v>
      </c>
    </row>
    <row r="93" spans="1:22" outlineLevel="2">
      <c r="A93" s="2">
        <v>4</v>
      </c>
      <c r="B93" s="2" t="s">
        <v>64</v>
      </c>
      <c r="C93" s="2">
        <v>4.2</v>
      </c>
      <c r="D93" s="4" t="s">
        <v>17</v>
      </c>
      <c r="E93" s="2" t="s">
        <v>73</v>
      </c>
      <c r="F93" s="8" t="s">
        <v>318</v>
      </c>
      <c r="G93" s="73" t="s">
        <v>65</v>
      </c>
      <c r="H93" s="62"/>
      <c r="I93" s="45" t="s">
        <v>195</v>
      </c>
      <c r="J93" s="45"/>
      <c r="K93" s="103">
        <v>45240</v>
      </c>
      <c r="L93" s="103">
        <v>45240</v>
      </c>
      <c r="M93" s="113">
        <f>NETWORKDAYS.INTL(K93,L93,1,기초데이터_삭제불가!$B$3:$B$16)</f>
        <v>1</v>
      </c>
      <c r="N93" s="114">
        <f t="shared" si="105"/>
        <v>6.25E-2</v>
      </c>
      <c r="O93" s="103"/>
      <c r="P93" s="103"/>
      <c r="Q93" s="97">
        <f>NETWORKDAYS.INTL(O93,P93,1,기초데이터_삭제불가!$B$3:$B$16)</f>
        <v>0</v>
      </c>
      <c r="R93" s="100">
        <f t="shared" ca="1" si="106"/>
        <v>0</v>
      </c>
      <c r="S93" s="101">
        <f t="shared" ca="1" si="103"/>
        <v>0</v>
      </c>
      <c r="T93" s="100">
        <v>0</v>
      </c>
      <c r="U93" s="101">
        <f t="shared" si="104"/>
        <v>0</v>
      </c>
      <c r="V93" s="102" t="str">
        <f t="shared" ca="1" si="107"/>
        <v>완료</v>
      </c>
    </row>
    <row r="94" spans="1:22" outlineLevel="2">
      <c r="A94" s="2">
        <v>4</v>
      </c>
      <c r="B94" s="2" t="s">
        <v>64</v>
      </c>
      <c r="C94" s="2">
        <v>4.2</v>
      </c>
      <c r="D94" s="4" t="s">
        <v>323</v>
      </c>
      <c r="E94" s="2" t="s">
        <v>74</v>
      </c>
      <c r="F94" s="8" t="s">
        <v>324</v>
      </c>
      <c r="G94" s="73" t="s">
        <v>40</v>
      </c>
      <c r="H94" s="73"/>
      <c r="I94" s="45" t="s">
        <v>10</v>
      </c>
      <c r="J94" s="45"/>
      <c r="K94" s="103">
        <v>45231</v>
      </c>
      <c r="L94" s="103">
        <v>45236</v>
      </c>
      <c r="M94" s="113">
        <f>NETWORKDAYS.INTL(K94,L94,1,기초데이터_삭제불가!$B$3:$B$16)</f>
        <v>4</v>
      </c>
      <c r="N94" s="114">
        <f t="shared" si="105"/>
        <v>0.25</v>
      </c>
      <c r="O94" s="103"/>
      <c r="P94" s="103"/>
      <c r="Q94" s="97">
        <f>NETWORKDAYS.INTL(O94,P94,1,기초데이터_삭제불가!$B$3:$B$16)</f>
        <v>0</v>
      </c>
      <c r="R94" s="100">
        <f t="shared" ca="1" si="106"/>
        <v>0</v>
      </c>
      <c r="S94" s="101">
        <f t="shared" ca="1" si="103"/>
        <v>0</v>
      </c>
      <c r="T94" s="100">
        <v>0</v>
      </c>
      <c r="U94" s="101">
        <f t="shared" si="104"/>
        <v>0</v>
      </c>
      <c r="V94" s="102" t="str">
        <f t="shared" ca="1" si="107"/>
        <v>완료</v>
      </c>
    </row>
    <row r="95" spans="1:22" outlineLevel="2">
      <c r="A95" s="2">
        <v>4</v>
      </c>
      <c r="B95" s="2" t="s">
        <v>64</v>
      </c>
      <c r="C95" s="2">
        <v>4.2</v>
      </c>
      <c r="D95" s="4" t="s">
        <v>17</v>
      </c>
      <c r="E95" s="2" t="s">
        <v>75</v>
      </c>
      <c r="F95" s="8" t="s">
        <v>325</v>
      </c>
      <c r="G95" s="73" t="s">
        <v>65</v>
      </c>
      <c r="H95" s="62"/>
      <c r="I95" s="45" t="s">
        <v>195</v>
      </c>
      <c r="J95" s="45"/>
      <c r="K95" s="103">
        <v>45237</v>
      </c>
      <c r="L95" s="103">
        <v>45238</v>
      </c>
      <c r="M95" s="113">
        <f>NETWORKDAYS.INTL(K95,L95,1,기초데이터_삭제불가!$B$3:$B$16)</f>
        <v>2</v>
      </c>
      <c r="N95" s="114">
        <f t="shared" si="105"/>
        <v>0.125</v>
      </c>
      <c r="O95" s="103"/>
      <c r="P95" s="103"/>
      <c r="Q95" s="97">
        <f>NETWORKDAYS.INTL(O95,P95,1,기초데이터_삭제불가!$B$3:$B$16)</f>
        <v>0</v>
      </c>
      <c r="R95" s="100">
        <f t="shared" ca="1" si="106"/>
        <v>0</v>
      </c>
      <c r="S95" s="101">
        <f t="shared" ca="1" si="103"/>
        <v>0</v>
      </c>
      <c r="T95" s="100">
        <v>0</v>
      </c>
      <c r="U95" s="101">
        <f t="shared" si="104"/>
        <v>0</v>
      </c>
      <c r="V95" s="102" t="str">
        <f t="shared" ca="1" si="107"/>
        <v>완료</v>
      </c>
    </row>
    <row r="96" spans="1:22" outlineLevel="1">
      <c r="A96" s="43">
        <v>4</v>
      </c>
      <c r="B96" s="43" t="s">
        <v>64</v>
      </c>
      <c r="C96" s="46">
        <v>4.3</v>
      </c>
      <c r="D96" s="42" t="s">
        <v>317</v>
      </c>
      <c r="E96" s="43"/>
      <c r="F96" s="44"/>
      <c r="G96" s="71"/>
      <c r="H96" s="64"/>
      <c r="I96" s="43" t="s">
        <v>10</v>
      </c>
      <c r="J96" s="43"/>
      <c r="K96" s="104">
        <f>MIN(K97:K104)</f>
        <v>45238</v>
      </c>
      <c r="L96" s="104">
        <f>MAX(L97:L104)</f>
        <v>45268</v>
      </c>
      <c r="M96" s="105">
        <f>SUM(M97:M104)</f>
        <v>20</v>
      </c>
      <c r="N96" s="106">
        <f>M96/$M$81</f>
        <v>0.31746031746031744</v>
      </c>
      <c r="O96" s="104">
        <f>MIN(O97:O100)</f>
        <v>0</v>
      </c>
      <c r="P96" s="104">
        <f>MAX(P97:P100)</f>
        <v>0</v>
      </c>
      <c r="Q96" s="105">
        <f>SUM(Q97:Q100)</f>
        <v>0</v>
      </c>
      <c r="R96" s="107">
        <f ca="1">SUMPRODUCT(N97:N100,R97:R100)</f>
        <v>0</v>
      </c>
      <c r="S96" s="107">
        <f ca="1">N96*R96</f>
        <v>0</v>
      </c>
      <c r="T96" s="107">
        <f>AVERAGE(T97:T100)</f>
        <v>0</v>
      </c>
      <c r="U96" s="107">
        <f>N96*T96</f>
        <v>0</v>
      </c>
      <c r="V96" s="108" t="str">
        <f ca="1">IF(T96=R96,"완료",IF(T96&lt;R96,"지연","초과"))</f>
        <v>완료</v>
      </c>
    </row>
    <row r="97" spans="1:22" outlineLevel="2">
      <c r="A97" s="2">
        <v>4</v>
      </c>
      <c r="B97" s="2" t="s">
        <v>64</v>
      </c>
      <c r="C97" s="2">
        <v>4.3</v>
      </c>
      <c r="D97" s="4" t="s">
        <v>326</v>
      </c>
      <c r="E97" s="2" t="s">
        <v>371</v>
      </c>
      <c r="F97" s="58" t="s">
        <v>410</v>
      </c>
      <c r="G97" s="70" t="s">
        <v>40</v>
      </c>
      <c r="H97" s="63"/>
      <c r="I97" s="2" t="s">
        <v>10</v>
      </c>
      <c r="K97" s="103">
        <v>45238</v>
      </c>
      <c r="L97" s="103">
        <v>45240</v>
      </c>
      <c r="M97" s="97">
        <f>NETWORKDAYS.INTL(K97,L97,1,기초데이터_삭제불가!$B$3:$B$16)</f>
        <v>3</v>
      </c>
      <c r="N97" s="114">
        <f>M97/$M$96</f>
        <v>0.15</v>
      </c>
      <c r="O97" s="98"/>
      <c r="P97" s="98"/>
      <c r="Q97" s="97">
        <f>NETWORKDAYS.INTL(O97,P97,1,기초데이터_삭제불가!$B$3:$B$16)</f>
        <v>0</v>
      </c>
      <c r="R97" s="100">
        <f ca="1">IF($L$2&gt;=L97,1,IF($L$2&lt;K97,0,(($L$2-K97)+1)/(M97)))</f>
        <v>0</v>
      </c>
      <c r="S97" s="101">
        <f t="shared" ref="S97:S100" ca="1" si="108">R97*N97</f>
        <v>0</v>
      </c>
      <c r="T97" s="100">
        <v>0</v>
      </c>
      <c r="U97" s="101">
        <f t="shared" ref="U97:U100" si="109">N97*T97</f>
        <v>0</v>
      </c>
      <c r="V97" s="102" t="str">
        <f ca="1">IF(T97=R97,"완료",IF(T97&lt;R97,"지연","초과"))</f>
        <v>완료</v>
      </c>
    </row>
    <row r="98" spans="1:22" outlineLevel="2">
      <c r="A98" s="2">
        <v>4</v>
      </c>
      <c r="B98" s="2" t="s">
        <v>64</v>
      </c>
      <c r="C98" s="2">
        <v>4.3</v>
      </c>
      <c r="D98" s="4" t="s">
        <v>17</v>
      </c>
      <c r="E98" s="2" t="s">
        <v>372</v>
      </c>
      <c r="F98" s="58" t="s">
        <v>411</v>
      </c>
      <c r="G98" s="73" t="s">
        <v>65</v>
      </c>
      <c r="H98" s="62"/>
      <c r="I98" s="45" t="s">
        <v>195</v>
      </c>
      <c r="J98" s="45"/>
      <c r="K98" s="103">
        <v>45243</v>
      </c>
      <c r="L98" s="103">
        <v>45244</v>
      </c>
      <c r="M98" s="113">
        <f>NETWORKDAYS.INTL(K98,L98,1,기초데이터_삭제불가!$B$3:$B$16)</f>
        <v>2</v>
      </c>
      <c r="N98" s="114">
        <f t="shared" ref="N98:N103" si="110">M98/$M$96</f>
        <v>0.1</v>
      </c>
      <c r="O98" s="103"/>
      <c r="P98" s="103"/>
      <c r="Q98" s="97">
        <f>NETWORKDAYS.INTL(O98,P98,1,기초데이터_삭제불가!$B$3:$B$16)</f>
        <v>0</v>
      </c>
      <c r="R98" s="100">
        <f t="shared" ref="R98:R100" ca="1" si="111">IF($L$2&gt;=L98,1,IF($L$2&lt;K98,0,(($L$2-K98)+1)/(M98)))</f>
        <v>0</v>
      </c>
      <c r="S98" s="101">
        <f t="shared" ca="1" si="108"/>
        <v>0</v>
      </c>
      <c r="T98" s="100">
        <v>0</v>
      </c>
      <c r="U98" s="101">
        <f t="shared" si="109"/>
        <v>0</v>
      </c>
      <c r="V98" s="102" t="str">
        <f t="shared" ref="V98:V100" ca="1" si="112">IF(T98=R98,"완료",IF(T98&lt;R98,"지연","초과"))</f>
        <v>완료</v>
      </c>
    </row>
    <row r="99" spans="1:22" outlineLevel="2">
      <c r="A99" s="2">
        <v>4</v>
      </c>
      <c r="B99" s="2" t="s">
        <v>64</v>
      </c>
      <c r="C99" s="2">
        <v>4.3</v>
      </c>
      <c r="D99" s="4" t="s">
        <v>326</v>
      </c>
      <c r="E99" s="2" t="s">
        <v>368</v>
      </c>
      <c r="F99" s="8" t="s">
        <v>412</v>
      </c>
      <c r="G99" s="73" t="s">
        <v>40</v>
      </c>
      <c r="H99" s="73"/>
      <c r="I99" s="45" t="s">
        <v>10</v>
      </c>
      <c r="J99" s="45"/>
      <c r="K99" s="103">
        <v>45245</v>
      </c>
      <c r="L99" s="103">
        <v>45247</v>
      </c>
      <c r="M99" s="113">
        <f>NETWORKDAYS.INTL(K99,L99,1,기초데이터_삭제불가!$B$3:$B$16)</f>
        <v>3</v>
      </c>
      <c r="N99" s="114">
        <f t="shared" si="110"/>
        <v>0.15</v>
      </c>
      <c r="O99" s="103"/>
      <c r="P99" s="103"/>
      <c r="Q99" s="97">
        <f>NETWORKDAYS.INTL(O99,P99,1,기초데이터_삭제불가!$B$3:$B$16)</f>
        <v>0</v>
      </c>
      <c r="R99" s="100">
        <f t="shared" ca="1" si="111"/>
        <v>0</v>
      </c>
      <c r="S99" s="101">
        <f t="shared" ca="1" si="108"/>
        <v>0</v>
      </c>
      <c r="T99" s="100">
        <v>0</v>
      </c>
      <c r="U99" s="101">
        <f t="shared" si="109"/>
        <v>0</v>
      </c>
      <c r="V99" s="102" t="str">
        <f t="shared" ca="1" si="112"/>
        <v>완료</v>
      </c>
    </row>
    <row r="100" spans="1:22" outlineLevel="2">
      <c r="A100" s="2">
        <v>4</v>
      </c>
      <c r="B100" s="2" t="s">
        <v>64</v>
      </c>
      <c r="C100" s="2">
        <v>4.3</v>
      </c>
      <c r="D100" s="4" t="s">
        <v>17</v>
      </c>
      <c r="E100" s="2" t="s">
        <v>373</v>
      </c>
      <c r="F100" s="8" t="s">
        <v>413</v>
      </c>
      <c r="G100" s="73" t="s">
        <v>65</v>
      </c>
      <c r="H100" s="62"/>
      <c r="I100" s="45" t="s">
        <v>195</v>
      </c>
      <c r="J100" s="45"/>
      <c r="K100" s="103">
        <v>45250</v>
      </c>
      <c r="L100" s="103">
        <v>45251</v>
      </c>
      <c r="M100" s="113">
        <f>NETWORKDAYS.INTL(K100,L100,1,기초데이터_삭제불가!$B$3:$B$16)</f>
        <v>2</v>
      </c>
      <c r="N100" s="114">
        <f t="shared" si="110"/>
        <v>0.1</v>
      </c>
      <c r="O100" s="103"/>
      <c r="P100" s="103"/>
      <c r="Q100" s="97">
        <f>NETWORKDAYS.INTL(O100,P100,1,기초데이터_삭제불가!$B$3:$B$16)</f>
        <v>0</v>
      </c>
      <c r="R100" s="100">
        <f t="shared" ca="1" si="111"/>
        <v>0</v>
      </c>
      <c r="S100" s="101">
        <f t="shared" ca="1" si="108"/>
        <v>0</v>
      </c>
      <c r="T100" s="100">
        <v>0</v>
      </c>
      <c r="U100" s="101">
        <f t="shared" si="109"/>
        <v>0</v>
      </c>
      <c r="V100" s="102" t="str">
        <f t="shared" ca="1" si="112"/>
        <v>완료</v>
      </c>
    </row>
    <row r="101" spans="1:22" outlineLevel="2">
      <c r="A101" s="2">
        <v>4</v>
      </c>
      <c r="B101" s="2" t="s">
        <v>64</v>
      </c>
      <c r="C101" s="2">
        <v>4.3</v>
      </c>
      <c r="D101" s="4" t="s">
        <v>326</v>
      </c>
      <c r="E101" s="2" t="s">
        <v>406</v>
      </c>
      <c r="F101" s="58" t="s">
        <v>417</v>
      </c>
      <c r="G101" s="70" t="s">
        <v>40</v>
      </c>
      <c r="H101" s="63"/>
      <c r="I101" s="2" t="s">
        <v>10</v>
      </c>
      <c r="K101" s="103">
        <v>45252</v>
      </c>
      <c r="L101" s="103">
        <v>45254</v>
      </c>
      <c r="M101" s="97">
        <f>NETWORKDAYS.INTL(K101,L101,1,기초데이터_삭제불가!$B$3:$B$16)</f>
        <v>3</v>
      </c>
      <c r="N101" s="114">
        <f t="shared" si="110"/>
        <v>0.15</v>
      </c>
      <c r="O101" s="98"/>
      <c r="P101" s="98"/>
      <c r="Q101" s="97">
        <f>NETWORKDAYS.INTL(O101,P101,1,기초데이터_삭제불가!$B$3:$B$16)</f>
        <v>0</v>
      </c>
      <c r="R101" s="100">
        <f ca="1">IF($L$2&gt;=L101,1,IF($L$2&lt;K101,0,(($L$2-K101)+1)/(M101)))</f>
        <v>0</v>
      </c>
      <c r="S101" s="101">
        <f t="shared" ref="S101:S104" ca="1" si="113">R101*N101</f>
        <v>0</v>
      </c>
      <c r="T101" s="100">
        <v>0</v>
      </c>
      <c r="U101" s="101">
        <f t="shared" ref="U101:U104" si="114">N101*T101</f>
        <v>0</v>
      </c>
      <c r="V101" s="102" t="str">
        <f ca="1">IF(T101=R101,"완료",IF(T101&lt;R101,"지연","초과"))</f>
        <v>완료</v>
      </c>
    </row>
    <row r="102" spans="1:22" outlineLevel="2">
      <c r="A102" s="2">
        <v>4</v>
      </c>
      <c r="B102" s="2" t="s">
        <v>64</v>
      </c>
      <c r="C102" s="2">
        <v>4.3</v>
      </c>
      <c r="D102" s="4" t="s">
        <v>17</v>
      </c>
      <c r="E102" s="2" t="s">
        <v>414</v>
      </c>
      <c r="F102" s="58" t="s">
        <v>418</v>
      </c>
      <c r="G102" s="73" t="s">
        <v>65</v>
      </c>
      <c r="H102" s="62"/>
      <c r="I102" s="45" t="s">
        <v>195</v>
      </c>
      <c r="J102" s="45"/>
      <c r="K102" s="103">
        <v>45257</v>
      </c>
      <c r="L102" s="103">
        <v>45258</v>
      </c>
      <c r="M102" s="113">
        <f>NETWORKDAYS.INTL(K102,L102,1,기초데이터_삭제불가!$B$3:$B$16)</f>
        <v>2</v>
      </c>
      <c r="N102" s="114">
        <f t="shared" si="110"/>
        <v>0.1</v>
      </c>
      <c r="O102" s="103"/>
      <c r="P102" s="103"/>
      <c r="Q102" s="97">
        <f>NETWORKDAYS.INTL(O102,P102,1,기초데이터_삭제불가!$B$3:$B$16)</f>
        <v>0</v>
      </c>
      <c r="R102" s="100">
        <f t="shared" ref="R102:R104" ca="1" si="115">IF($L$2&gt;=L102,1,IF($L$2&lt;K102,0,(($L$2-K102)+1)/(M102)))</f>
        <v>0</v>
      </c>
      <c r="S102" s="101">
        <f t="shared" ca="1" si="113"/>
        <v>0</v>
      </c>
      <c r="T102" s="100">
        <v>0</v>
      </c>
      <c r="U102" s="101">
        <f t="shared" si="114"/>
        <v>0</v>
      </c>
      <c r="V102" s="102" t="str">
        <f t="shared" ref="V102:V104" ca="1" si="116">IF(T102=R102,"완료",IF(T102&lt;R102,"지연","초과"))</f>
        <v>완료</v>
      </c>
    </row>
    <row r="103" spans="1:22" outlineLevel="2">
      <c r="A103" s="2">
        <v>4</v>
      </c>
      <c r="B103" s="2" t="s">
        <v>64</v>
      </c>
      <c r="C103" s="2">
        <v>4.3</v>
      </c>
      <c r="D103" s="4" t="s">
        <v>326</v>
      </c>
      <c r="E103" s="2" t="s">
        <v>415</v>
      </c>
      <c r="F103" s="8" t="s">
        <v>419</v>
      </c>
      <c r="G103" s="73" t="s">
        <v>40</v>
      </c>
      <c r="H103" s="73"/>
      <c r="I103" s="45" t="s">
        <v>10</v>
      </c>
      <c r="J103" s="45"/>
      <c r="K103" s="103">
        <v>45264</v>
      </c>
      <c r="L103" s="103">
        <v>45266</v>
      </c>
      <c r="M103" s="113">
        <f>NETWORKDAYS.INTL(K103,L103,1,기초데이터_삭제불가!$B$3:$B$16)</f>
        <v>3</v>
      </c>
      <c r="N103" s="114">
        <f t="shared" si="110"/>
        <v>0.15</v>
      </c>
      <c r="O103" s="103"/>
      <c r="P103" s="103"/>
      <c r="Q103" s="97">
        <f>NETWORKDAYS.INTL(O103,P103,1,기초데이터_삭제불가!$B$3:$B$16)</f>
        <v>0</v>
      </c>
      <c r="R103" s="100">
        <f t="shared" ca="1" si="115"/>
        <v>0</v>
      </c>
      <c r="S103" s="101">
        <f t="shared" ca="1" si="113"/>
        <v>0</v>
      </c>
      <c r="T103" s="100">
        <v>0</v>
      </c>
      <c r="U103" s="101">
        <f t="shared" si="114"/>
        <v>0</v>
      </c>
      <c r="V103" s="102" t="str">
        <f t="shared" ca="1" si="116"/>
        <v>완료</v>
      </c>
    </row>
    <row r="104" spans="1:22" outlineLevel="2">
      <c r="A104" s="2">
        <v>4</v>
      </c>
      <c r="B104" s="2" t="s">
        <v>64</v>
      </c>
      <c r="C104" s="2">
        <v>4.3</v>
      </c>
      <c r="D104" s="4" t="s">
        <v>17</v>
      </c>
      <c r="E104" s="2" t="s">
        <v>416</v>
      </c>
      <c r="F104" s="8" t="s">
        <v>420</v>
      </c>
      <c r="G104" s="73" t="s">
        <v>65</v>
      </c>
      <c r="H104" s="62"/>
      <c r="I104" s="45" t="s">
        <v>195</v>
      </c>
      <c r="J104" s="45"/>
      <c r="K104" s="103">
        <v>45267</v>
      </c>
      <c r="L104" s="103">
        <v>45268</v>
      </c>
      <c r="M104" s="113">
        <f>NETWORKDAYS.INTL(K104,L104,1,기초데이터_삭제불가!$B$3:$B$16)</f>
        <v>2</v>
      </c>
      <c r="N104" s="114">
        <f>M104/$M$96</f>
        <v>0.1</v>
      </c>
      <c r="O104" s="103"/>
      <c r="P104" s="103"/>
      <c r="Q104" s="97">
        <f>NETWORKDAYS.INTL(O104,P104,1,기초데이터_삭제불가!$B$3:$B$16)</f>
        <v>0</v>
      </c>
      <c r="R104" s="100">
        <f t="shared" ca="1" si="115"/>
        <v>0</v>
      </c>
      <c r="S104" s="101">
        <f t="shared" ca="1" si="113"/>
        <v>0</v>
      </c>
      <c r="T104" s="100">
        <v>0</v>
      </c>
      <c r="U104" s="101">
        <f t="shared" si="114"/>
        <v>0</v>
      </c>
      <c r="V104" s="102" t="str">
        <f t="shared" ca="1" si="116"/>
        <v>완료</v>
      </c>
    </row>
    <row r="105" spans="1:22">
      <c r="A105" s="11">
        <v>5</v>
      </c>
      <c r="B105" s="11" t="s">
        <v>15</v>
      </c>
      <c r="C105" s="11"/>
      <c r="D105" s="12"/>
      <c r="E105" s="11"/>
      <c r="F105" s="12"/>
      <c r="G105" s="74"/>
      <c r="H105" s="74"/>
      <c r="I105" s="11"/>
      <c r="J105" s="11"/>
      <c r="K105" s="109">
        <f>MIN(K106:K114)</f>
        <v>45271</v>
      </c>
      <c r="L105" s="109">
        <f>MAX(L106:L114)</f>
        <v>45286</v>
      </c>
      <c r="M105" s="110">
        <f>SUM(M106,M109,M112)</f>
        <v>11</v>
      </c>
      <c r="N105" s="89">
        <f>M105/$M$6</f>
        <v>3.9145907473309607E-2</v>
      </c>
      <c r="O105" s="109">
        <f>MIN(O106:O114)</f>
        <v>0</v>
      </c>
      <c r="P105" s="109">
        <f>MAX(P106:P114)</f>
        <v>0</v>
      </c>
      <c r="Q105" s="110" t="e">
        <f>SUM(Q106,Q109,Q112,#REF!,#REF!)</f>
        <v>#REF!</v>
      </c>
      <c r="R105" s="111" t="e">
        <f>AVERAGE(R106,R109,R112,#REF!,#REF!)</f>
        <v>#REF!</v>
      </c>
      <c r="S105" s="111" t="e">
        <f>N105*R105</f>
        <v>#REF!</v>
      </c>
      <c r="T105" s="111" t="e">
        <f>AVERAGE(T106,T109,T112,#REF!,#REF!)</f>
        <v>#REF!</v>
      </c>
      <c r="U105" s="111" t="e">
        <f>N105*T105</f>
        <v>#REF!</v>
      </c>
      <c r="V105" s="112" t="e">
        <f t="shared" ref="V105:V116" si="117">IF(T105=R105,"완료",IF(T105&lt;R105,"지연","초과"))</f>
        <v>#REF!</v>
      </c>
    </row>
    <row r="106" spans="1:22" outlineLevel="1">
      <c r="A106" s="43">
        <v>5</v>
      </c>
      <c r="B106" s="43" t="s">
        <v>15</v>
      </c>
      <c r="C106" s="46">
        <v>5.0999999999999996</v>
      </c>
      <c r="D106" s="42" t="s">
        <v>198</v>
      </c>
      <c r="E106" s="43"/>
      <c r="F106" s="51"/>
      <c r="G106" s="64"/>
      <c r="H106" s="64"/>
      <c r="I106" s="43" t="s">
        <v>329</v>
      </c>
      <c r="J106" s="43"/>
      <c r="K106" s="104">
        <f>MIN(K107:K108)</f>
        <v>45271</v>
      </c>
      <c r="L106" s="104">
        <f>MAX(L107:L107)</f>
        <v>45272</v>
      </c>
      <c r="M106" s="105">
        <f>SUM(M107:M108)</f>
        <v>7</v>
      </c>
      <c r="N106" s="106">
        <f t="shared" ref="N106:N112" si="118">M106/$M$105</f>
        <v>0.63636363636363635</v>
      </c>
      <c r="O106" s="104"/>
      <c r="P106" s="104"/>
      <c r="Q106" s="105">
        <f>SUM(Q107:Q108)</f>
        <v>0</v>
      </c>
      <c r="R106" s="107">
        <f ca="1">SUMPRODUCT(N107:N108,R107:R108)</f>
        <v>0</v>
      </c>
      <c r="S106" s="107">
        <f ca="1">N106*R106</f>
        <v>0</v>
      </c>
      <c r="T106" s="107">
        <f>AVERAGE(T107:T108)</f>
        <v>0</v>
      </c>
      <c r="U106" s="107">
        <f>N106*T106</f>
        <v>0</v>
      </c>
      <c r="V106" s="108" t="str">
        <f t="shared" ca="1" si="117"/>
        <v>완료</v>
      </c>
    </row>
    <row r="107" spans="1:22" outlineLevel="2">
      <c r="A107" s="2">
        <v>5</v>
      </c>
      <c r="B107" s="2" t="s">
        <v>15</v>
      </c>
      <c r="C107" s="2">
        <v>5.0999999999999996</v>
      </c>
      <c r="D107" s="4" t="s">
        <v>78</v>
      </c>
      <c r="E107" s="2" t="s">
        <v>374</v>
      </c>
      <c r="F107" s="4" t="s">
        <v>76</v>
      </c>
      <c r="G107" s="70" t="s">
        <v>78</v>
      </c>
      <c r="H107" s="63"/>
      <c r="I107" s="45" t="s">
        <v>195</v>
      </c>
      <c r="K107" s="98">
        <v>45271</v>
      </c>
      <c r="L107" s="98">
        <v>45272</v>
      </c>
      <c r="M107" s="97">
        <f>NETWORKDAYS.INTL(K107,L107,1,기초데이터_삭제불가!$B$3:$B$16)</f>
        <v>2</v>
      </c>
      <c r="N107" s="99">
        <f>M107/$M$106</f>
        <v>0.2857142857142857</v>
      </c>
      <c r="O107" s="98"/>
      <c r="P107" s="98"/>
      <c r="Q107" s="97">
        <f>NETWORKDAYS.INTL(O107,P107,1,기초데이터_삭제불가!$B$3:$B$16)</f>
        <v>0</v>
      </c>
      <c r="R107" s="100">
        <f ca="1">IF($L$2&gt;=L107,1,IF($L$2&lt;K107,0,(($L$2-K107)+1)/(M107)))</f>
        <v>0</v>
      </c>
      <c r="S107" s="101">
        <f t="shared" ref="S107:S108" ca="1" si="119">R107*N107</f>
        <v>0</v>
      </c>
      <c r="T107" s="100">
        <v>0</v>
      </c>
      <c r="U107" s="101">
        <f t="shared" ref="U107:U108" si="120">N107*T107</f>
        <v>0</v>
      </c>
      <c r="V107" s="102" t="str">
        <f t="shared" ca="1" si="117"/>
        <v>완료</v>
      </c>
    </row>
    <row r="108" spans="1:22" outlineLevel="2">
      <c r="A108" s="2">
        <v>5</v>
      </c>
      <c r="B108" s="2" t="s">
        <v>15</v>
      </c>
      <c r="C108" s="2">
        <v>5.0999999999999996</v>
      </c>
      <c r="D108" s="4" t="s">
        <v>77</v>
      </c>
      <c r="E108" s="2" t="s">
        <v>375</v>
      </c>
      <c r="F108" s="4" t="s">
        <v>328</v>
      </c>
      <c r="G108" s="63" t="s">
        <v>327</v>
      </c>
      <c r="H108" s="63"/>
      <c r="I108" s="45" t="s">
        <v>195</v>
      </c>
      <c r="K108" s="98">
        <v>45273</v>
      </c>
      <c r="L108" s="98">
        <v>45279</v>
      </c>
      <c r="M108" s="97">
        <f>NETWORKDAYS.INTL(K108,L108,1,기초데이터_삭제불가!$B$3:$B$16)</f>
        <v>5</v>
      </c>
      <c r="N108" s="99">
        <f>M108/$M$106</f>
        <v>0.7142857142857143</v>
      </c>
      <c r="O108" s="98"/>
      <c r="P108" s="98"/>
      <c r="Q108" s="97">
        <f>NETWORKDAYS.INTL(O108,P108,1,기초데이터_삭제불가!$B$3:$B$16)</f>
        <v>0</v>
      </c>
      <c r="R108" s="100">
        <f t="shared" ref="R108" ca="1" si="121">IF($L$2&gt;=L108,1,IF($L$2&lt;K108,0,(($L$2-K108)+1)/(M108)))</f>
        <v>0</v>
      </c>
      <c r="S108" s="101">
        <f t="shared" ca="1" si="119"/>
        <v>0</v>
      </c>
      <c r="T108" s="100">
        <v>0</v>
      </c>
      <c r="U108" s="101">
        <f t="shared" si="120"/>
        <v>0</v>
      </c>
      <c r="V108" s="102" t="str">
        <f t="shared" ca="1" si="117"/>
        <v>완료</v>
      </c>
    </row>
    <row r="109" spans="1:22" outlineLevel="1">
      <c r="A109" s="43">
        <v>5</v>
      </c>
      <c r="B109" s="43" t="s">
        <v>15</v>
      </c>
      <c r="C109" s="46">
        <v>5.2</v>
      </c>
      <c r="D109" s="42" t="s">
        <v>34</v>
      </c>
      <c r="E109" s="43"/>
      <c r="F109" s="44"/>
      <c r="G109" s="71"/>
      <c r="H109" s="71"/>
      <c r="I109" s="43" t="s">
        <v>329</v>
      </c>
      <c r="J109" s="43"/>
      <c r="K109" s="104">
        <f>MIN(K110:K111)</f>
        <v>45280</v>
      </c>
      <c r="L109" s="104">
        <f>MAX(L110:L111)</f>
        <v>45281</v>
      </c>
      <c r="M109" s="105">
        <f>SUM(M110:M111)</f>
        <v>2</v>
      </c>
      <c r="N109" s="106">
        <f t="shared" si="118"/>
        <v>0.18181818181818182</v>
      </c>
      <c r="O109" s="104"/>
      <c r="P109" s="104"/>
      <c r="Q109" s="105">
        <f>SUM(Q110:Q111)</f>
        <v>0</v>
      </c>
      <c r="R109" s="107">
        <f ca="1">SUMPRODUCT(N110:N111,R110:R111)</f>
        <v>0</v>
      </c>
      <c r="S109" s="107">
        <f ca="1">N109*R109</f>
        <v>0</v>
      </c>
      <c r="T109" s="107">
        <f>AVERAGE(T110:T111)</f>
        <v>0</v>
      </c>
      <c r="U109" s="107">
        <f>N109*T109</f>
        <v>0</v>
      </c>
      <c r="V109" s="108" t="str">
        <f t="shared" ca="1" si="117"/>
        <v>완료</v>
      </c>
    </row>
    <row r="110" spans="1:22" outlineLevel="2">
      <c r="A110" s="2">
        <v>5</v>
      </c>
      <c r="B110" s="2" t="s">
        <v>15</v>
      </c>
      <c r="C110" s="2">
        <v>5.2</v>
      </c>
      <c r="D110" s="4" t="s">
        <v>79</v>
      </c>
      <c r="E110" s="2" t="s">
        <v>376</v>
      </c>
      <c r="F110" s="4" t="s">
        <v>82</v>
      </c>
      <c r="G110" s="70" t="s">
        <v>85</v>
      </c>
      <c r="I110" s="45" t="s">
        <v>195</v>
      </c>
      <c r="K110" s="98">
        <v>45280</v>
      </c>
      <c r="L110" s="98">
        <v>45280</v>
      </c>
      <c r="M110" s="97">
        <f>NETWORKDAYS.INTL(K110,L110,1,기초데이터_삭제불가!$B$3:$B$16)</f>
        <v>1</v>
      </c>
      <c r="N110" s="99">
        <f>M110/$M$109</f>
        <v>0.5</v>
      </c>
      <c r="O110" s="98"/>
      <c r="P110" s="98"/>
      <c r="Q110" s="97">
        <f>NETWORKDAYS.INTL(O110,P110,1,기초데이터_삭제불가!$B$3:$B$16)</f>
        <v>0</v>
      </c>
      <c r="R110" s="100">
        <f t="shared" ref="R110:R111" ca="1" si="122">IF($L$2&gt;=L110,1,IF($L$2&lt;K110,0,(($L$2-K110)+1)/(M110)))</f>
        <v>0</v>
      </c>
      <c r="S110" s="101">
        <f t="shared" ref="S110:S111" ca="1" si="123">R110*N110</f>
        <v>0</v>
      </c>
      <c r="T110" s="100">
        <v>0</v>
      </c>
      <c r="U110" s="101">
        <f t="shared" ref="U110:U111" si="124">N110*T110</f>
        <v>0</v>
      </c>
      <c r="V110" s="102" t="str">
        <f t="shared" ca="1" si="117"/>
        <v>완료</v>
      </c>
    </row>
    <row r="111" spans="1:22" outlineLevel="2">
      <c r="A111" s="2">
        <v>5</v>
      </c>
      <c r="B111" s="2" t="s">
        <v>15</v>
      </c>
      <c r="C111" s="2">
        <v>5.2</v>
      </c>
      <c r="D111" s="4" t="s">
        <v>80</v>
      </c>
      <c r="E111" s="2" t="s">
        <v>353</v>
      </c>
      <c r="F111" s="4" t="s">
        <v>80</v>
      </c>
      <c r="G111" s="70" t="s">
        <v>86</v>
      </c>
      <c r="I111" s="45" t="s">
        <v>195</v>
      </c>
      <c r="K111" s="98">
        <v>45281</v>
      </c>
      <c r="L111" s="98">
        <v>45281</v>
      </c>
      <c r="M111" s="97">
        <f>NETWORKDAYS.INTL(K111,L111,1,기초데이터_삭제불가!$B$3:$B$16)</f>
        <v>1</v>
      </c>
      <c r="N111" s="99">
        <f>M111/$M$109</f>
        <v>0.5</v>
      </c>
      <c r="O111" s="98"/>
      <c r="P111" s="98"/>
      <c r="Q111" s="97">
        <f>NETWORKDAYS.INTL(O111,P111,1,기초데이터_삭제불가!$B$3:$B$16)</f>
        <v>0</v>
      </c>
      <c r="R111" s="100">
        <f t="shared" ca="1" si="122"/>
        <v>0</v>
      </c>
      <c r="S111" s="101">
        <f t="shared" ca="1" si="123"/>
        <v>0</v>
      </c>
      <c r="T111" s="100">
        <v>0</v>
      </c>
      <c r="U111" s="101">
        <f t="shared" si="124"/>
        <v>0</v>
      </c>
      <c r="V111" s="102" t="str">
        <f t="shared" ca="1" si="117"/>
        <v>완료</v>
      </c>
    </row>
    <row r="112" spans="1:22" outlineLevel="1">
      <c r="A112" s="43">
        <v>5</v>
      </c>
      <c r="B112" s="43" t="s">
        <v>15</v>
      </c>
      <c r="C112" s="46">
        <v>5.3</v>
      </c>
      <c r="D112" s="42" t="s">
        <v>87</v>
      </c>
      <c r="E112" s="43"/>
      <c r="F112" s="44"/>
      <c r="G112" s="71"/>
      <c r="H112" s="71"/>
      <c r="I112" s="43" t="s">
        <v>329</v>
      </c>
      <c r="J112" s="43"/>
      <c r="K112" s="104">
        <f>MIN(K113:K114)</f>
        <v>45282</v>
      </c>
      <c r="L112" s="104">
        <f>MAX(L113:L114)</f>
        <v>45286</v>
      </c>
      <c r="M112" s="105">
        <f>SUM(M113:M114)</f>
        <v>2</v>
      </c>
      <c r="N112" s="106">
        <f t="shared" si="118"/>
        <v>0.18181818181818182</v>
      </c>
      <c r="O112" s="104"/>
      <c r="P112" s="104"/>
      <c r="Q112" s="105">
        <f>SUM(Q113:Q114)</f>
        <v>0</v>
      </c>
      <c r="R112" s="107">
        <f ca="1">SUMPRODUCT(N113:N114,R113:R114)</f>
        <v>0</v>
      </c>
      <c r="S112" s="107">
        <f ca="1">N112*R112</f>
        <v>0</v>
      </c>
      <c r="T112" s="107">
        <f>AVERAGE(T113:T114)</f>
        <v>0</v>
      </c>
      <c r="U112" s="107">
        <f>N112*T112</f>
        <v>0</v>
      </c>
      <c r="V112" s="108" t="str">
        <f t="shared" ca="1" si="117"/>
        <v>완료</v>
      </c>
    </row>
    <row r="113" spans="1:22" outlineLevel="2">
      <c r="A113" s="2">
        <v>5</v>
      </c>
      <c r="B113" s="2" t="s">
        <v>15</v>
      </c>
      <c r="C113" s="13">
        <v>5.3</v>
      </c>
      <c r="D113" s="4" t="s">
        <v>83</v>
      </c>
      <c r="E113" s="2" t="s">
        <v>377</v>
      </c>
      <c r="F113" s="4" t="s">
        <v>88</v>
      </c>
      <c r="G113" s="63" t="s">
        <v>83</v>
      </c>
      <c r="H113" s="63"/>
      <c r="I113" s="45" t="s">
        <v>195</v>
      </c>
      <c r="K113" s="98">
        <v>45282</v>
      </c>
      <c r="L113" s="98">
        <v>45282</v>
      </c>
      <c r="M113" s="97">
        <f>NETWORKDAYS.INTL(K113,L113,1,기초데이터_삭제불가!$B$3:$B$16)</f>
        <v>1</v>
      </c>
      <c r="N113" s="99">
        <f>M113/$M$112</f>
        <v>0.5</v>
      </c>
      <c r="O113" s="98"/>
      <c r="P113" s="98"/>
      <c r="Q113" s="97">
        <f>NETWORKDAYS.INTL(O113,P113,1,기초데이터_삭제불가!$B$3:$B$16)</f>
        <v>0</v>
      </c>
      <c r="R113" s="100">
        <f t="shared" ref="R113:R114" ca="1" si="125">IF($L$2&gt;=L113,1,IF($L$2&lt;K113,0,(($L$2-K113)+1)/(M113)))</f>
        <v>0</v>
      </c>
      <c r="S113" s="101">
        <f t="shared" ref="S113:S114" ca="1" si="126">R113*N113</f>
        <v>0</v>
      </c>
      <c r="T113" s="100">
        <v>0</v>
      </c>
      <c r="U113" s="101">
        <f t="shared" ref="U113:U114" si="127">N113*T113</f>
        <v>0</v>
      </c>
      <c r="V113" s="102" t="str">
        <f t="shared" ca="1" si="117"/>
        <v>완료</v>
      </c>
    </row>
    <row r="114" spans="1:22" outlineLevel="2">
      <c r="A114" s="2">
        <v>5</v>
      </c>
      <c r="B114" s="2" t="s">
        <v>15</v>
      </c>
      <c r="C114" s="13">
        <v>5.3</v>
      </c>
      <c r="D114" s="4" t="s">
        <v>84</v>
      </c>
      <c r="E114" s="2" t="s">
        <v>378</v>
      </c>
      <c r="F114" s="4" t="s">
        <v>84</v>
      </c>
      <c r="G114" s="63" t="s">
        <v>89</v>
      </c>
      <c r="H114" s="63"/>
      <c r="I114" s="45" t="s">
        <v>195</v>
      </c>
      <c r="K114" s="98">
        <v>45286</v>
      </c>
      <c r="L114" s="98">
        <v>45286</v>
      </c>
      <c r="M114" s="97">
        <f>NETWORKDAYS.INTL(K114,L114,1,기초데이터_삭제불가!$B$3:$B$16)</f>
        <v>1</v>
      </c>
      <c r="N114" s="99">
        <f>M114/$M$112</f>
        <v>0.5</v>
      </c>
      <c r="O114" s="98"/>
      <c r="P114" s="98"/>
      <c r="Q114" s="97">
        <f>NETWORKDAYS.INTL(O114,P114,1,기초데이터_삭제불가!$B$3:$B$16)</f>
        <v>0</v>
      </c>
      <c r="R114" s="100">
        <f t="shared" ca="1" si="125"/>
        <v>0</v>
      </c>
      <c r="S114" s="101">
        <f t="shared" ca="1" si="126"/>
        <v>0</v>
      </c>
      <c r="T114" s="100">
        <v>0</v>
      </c>
      <c r="U114" s="101">
        <f t="shared" si="127"/>
        <v>0</v>
      </c>
      <c r="V114" s="102" t="str">
        <f t="shared" ca="1" si="117"/>
        <v>완료</v>
      </c>
    </row>
    <row r="115" spans="1:22">
      <c r="A115" s="11">
        <v>6</v>
      </c>
      <c r="B115" s="11" t="s">
        <v>1</v>
      </c>
      <c r="C115" s="11"/>
      <c r="D115" s="12"/>
      <c r="E115" s="11"/>
      <c r="F115" s="12"/>
      <c r="G115" s="74"/>
      <c r="H115" s="74"/>
      <c r="I115" s="11"/>
      <c r="J115" s="11"/>
      <c r="K115" s="109">
        <f>MIN(K117:K120)</f>
        <v>45287</v>
      </c>
      <c r="L115" s="109">
        <f>MAX(L116:L120)</f>
        <v>45289</v>
      </c>
      <c r="M115" s="110">
        <f>SUM(M116,M118,M120)</f>
        <v>3</v>
      </c>
      <c r="N115" s="89">
        <f>M115/$M$6</f>
        <v>1.0676156583629894E-2</v>
      </c>
      <c r="O115" s="109">
        <f>MIN(O116:O120)</f>
        <v>0</v>
      </c>
      <c r="P115" s="109">
        <f>MAX(P116:P120)</f>
        <v>0</v>
      </c>
      <c r="Q115" s="110">
        <f>SUM(Q116,Q118,Q120)</f>
        <v>2</v>
      </c>
      <c r="R115" s="111">
        <f ca="1">AVERAGE(R116,R118,R120)</f>
        <v>0</v>
      </c>
      <c r="S115" s="111">
        <f ca="1">N115*R115</f>
        <v>0</v>
      </c>
      <c r="T115" s="111">
        <f>AVERAGE(T116,T118,T120)</f>
        <v>0</v>
      </c>
      <c r="U115" s="111">
        <f t="shared" ref="U115:U116" si="128">N115*T115</f>
        <v>0</v>
      </c>
      <c r="V115" s="112" t="str">
        <f t="shared" ca="1" si="117"/>
        <v>완료</v>
      </c>
    </row>
    <row r="116" spans="1:22" outlineLevel="1">
      <c r="A116" s="43">
        <v>6</v>
      </c>
      <c r="B116" s="43" t="s">
        <v>1</v>
      </c>
      <c r="C116" s="46">
        <v>6.1</v>
      </c>
      <c r="D116" s="42" t="s">
        <v>90</v>
      </c>
      <c r="E116" s="43"/>
      <c r="F116" s="44"/>
      <c r="G116" s="71"/>
      <c r="H116" s="71"/>
      <c r="I116" s="43" t="s">
        <v>161</v>
      </c>
      <c r="J116" s="43"/>
      <c r="K116" s="104">
        <f>MIN(K117:K117)</f>
        <v>45287</v>
      </c>
      <c r="L116" s="104">
        <f>MAX(L117:L117)</f>
        <v>45287</v>
      </c>
      <c r="M116" s="105">
        <f>SUM(M117:M117)</f>
        <v>1</v>
      </c>
      <c r="N116" s="106">
        <f>M116/$M$115</f>
        <v>0.33333333333333331</v>
      </c>
      <c r="O116" s="104"/>
      <c r="P116" s="104"/>
      <c r="Q116" s="105">
        <f>SUM(Q117:Q117)</f>
        <v>0</v>
      </c>
      <c r="R116" s="107">
        <f ca="1">SUMPRODUCT(N117:N117,R117:R117)</f>
        <v>0</v>
      </c>
      <c r="S116" s="107">
        <f ca="1">N116*R116</f>
        <v>0</v>
      </c>
      <c r="T116" s="107">
        <f>AVERAGE(T117:T117)</f>
        <v>0</v>
      </c>
      <c r="U116" s="107">
        <f t="shared" si="128"/>
        <v>0</v>
      </c>
      <c r="V116" s="108" t="str">
        <f t="shared" ca="1" si="117"/>
        <v>완료</v>
      </c>
    </row>
    <row r="117" spans="1:22" outlineLevel="2">
      <c r="A117" s="2">
        <v>6</v>
      </c>
      <c r="B117" s="2" t="s">
        <v>1</v>
      </c>
      <c r="C117" s="2">
        <v>6.1</v>
      </c>
      <c r="D117" s="4" t="s">
        <v>200</v>
      </c>
      <c r="G117" s="70" t="s">
        <v>199</v>
      </c>
      <c r="H117" s="63"/>
      <c r="I117" s="2" t="s">
        <v>331</v>
      </c>
      <c r="K117" s="98">
        <v>45287</v>
      </c>
      <c r="L117" s="98">
        <v>45287</v>
      </c>
      <c r="M117" s="97">
        <f>NETWORKDAYS.INTL(K117,L117,1,기초데이터_삭제불가!$B$3:$B$16)</f>
        <v>1</v>
      </c>
      <c r="N117" s="99">
        <f>M117/$M$116</f>
        <v>1</v>
      </c>
      <c r="O117" s="98"/>
      <c r="P117" s="98"/>
      <c r="Q117" s="97">
        <f>NETWORKDAYS.INTL(O117,P117,1,기초데이터_삭제불가!$B$3:$B$16)</f>
        <v>0</v>
      </c>
      <c r="R117" s="100">
        <f t="shared" ref="R117" ca="1" si="129">IF($L$2&gt;=L117,1,IF($L$2&lt;K117,0,(($L$2-K117)+1)/(M117)))</f>
        <v>0</v>
      </c>
      <c r="S117" s="101">
        <f t="shared" ref="S117" ca="1" si="130">R117*N117</f>
        <v>0</v>
      </c>
      <c r="T117" s="100">
        <v>0</v>
      </c>
      <c r="U117" s="101">
        <f t="shared" ref="U117" si="131">N117*T117</f>
        <v>0</v>
      </c>
      <c r="V117" s="102" t="str">
        <f t="shared" ref="V117:V119" ca="1" si="132">IF(T117=R117,"완료",IF(T117&lt;R117,"지연","초과"))</f>
        <v>완료</v>
      </c>
    </row>
    <row r="118" spans="1:22" outlineLevel="1">
      <c r="A118" s="43">
        <v>6</v>
      </c>
      <c r="B118" s="43" t="s">
        <v>1</v>
      </c>
      <c r="C118" s="46">
        <v>6.2</v>
      </c>
      <c r="D118" s="42" t="s">
        <v>91</v>
      </c>
      <c r="E118" s="43"/>
      <c r="F118" s="44"/>
      <c r="G118" s="71"/>
      <c r="H118" s="71"/>
      <c r="I118" s="43" t="s">
        <v>81</v>
      </c>
      <c r="J118" s="43"/>
      <c r="K118" s="104">
        <f>MIN(K119:K120)</f>
        <v>45288</v>
      </c>
      <c r="L118" s="104">
        <f>MAX(L119)</f>
        <v>45288</v>
      </c>
      <c r="M118" s="105">
        <f>SUM(M119)</f>
        <v>1</v>
      </c>
      <c r="N118" s="106">
        <f>M118/$M$115</f>
        <v>0.33333333333333331</v>
      </c>
      <c r="O118" s="104"/>
      <c r="P118" s="104"/>
      <c r="Q118" s="105">
        <f>SUM(Q119:Q120)</f>
        <v>1</v>
      </c>
      <c r="R118" s="107">
        <f ca="1">SUMPRODUCT(N119:N119,R119:R119)</f>
        <v>0</v>
      </c>
      <c r="S118" s="107">
        <f ca="1">N118*R118</f>
        <v>0</v>
      </c>
      <c r="T118" s="107">
        <f>AVERAGE(T119:T119)</f>
        <v>0</v>
      </c>
      <c r="U118" s="107">
        <f>N118*T118</f>
        <v>0</v>
      </c>
      <c r="V118" s="108" t="str">
        <f ca="1">IF(T118=R118,"완료",IF(T118&lt;R118,"지연","초과"))</f>
        <v>완료</v>
      </c>
    </row>
    <row r="119" spans="1:22" outlineLevel="2">
      <c r="A119" s="2">
        <v>6</v>
      </c>
      <c r="B119" s="2" t="s">
        <v>1</v>
      </c>
      <c r="C119" s="2">
        <v>6.2</v>
      </c>
      <c r="D119" s="4" t="s">
        <v>330</v>
      </c>
      <c r="G119" s="4" t="s">
        <v>92</v>
      </c>
      <c r="I119" s="2" t="s">
        <v>81</v>
      </c>
      <c r="K119" s="98">
        <v>45288</v>
      </c>
      <c r="L119" s="98">
        <v>45288</v>
      </c>
      <c r="M119" s="97">
        <f>NETWORKDAYS.INTL(K119,L119,1,기초데이터_삭제불가!$B$3:$B$16)</f>
        <v>1</v>
      </c>
      <c r="N119" s="99">
        <f>M119/$M$118</f>
        <v>1</v>
      </c>
      <c r="O119" s="98"/>
      <c r="P119" s="98"/>
      <c r="Q119" s="97">
        <f>NETWORKDAYS.INTL(O119,P119,1,기초데이터_삭제불가!$B$3:$B$16)</f>
        <v>0</v>
      </c>
      <c r="R119" s="100">
        <f t="shared" ref="R119:R120" ca="1" si="133">IF($L$2&gt;=L119,1,IF($L$2&lt;K119,0,(($L$2-K119)+1)/(M119)))</f>
        <v>0</v>
      </c>
      <c r="S119" s="101">
        <f t="shared" ref="S119" ca="1" si="134">R119*N119</f>
        <v>0</v>
      </c>
      <c r="T119" s="100">
        <v>0</v>
      </c>
      <c r="U119" s="101">
        <f t="shared" ref="U119" si="135">N119*T119</f>
        <v>0</v>
      </c>
      <c r="V119" s="102" t="str">
        <f t="shared" ca="1" si="132"/>
        <v>완료</v>
      </c>
    </row>
    <row r="120" spans="1:22" outlineLevel="1">
      <c r="A120" s="66">
        <v>6</v>
      </c>
      <c r="B120" s="66" t="s">
        <v>1</v>
      </c>
      <c r="C120" s="67">
        <v>6.3</v>
      </c>
      <c r="D120" s="68" t="s">
        <v>332</v>
      </c>
      <c r="E120" s="66"/>
      <c r="F120" s="69"/>
      <c r="G120" s="75"/>
      <c r="H120" s="75"/>
      <c r="I120" s="66"/>
      <c r="J120" s="66"/>
      <c r="K120" s="117">
        <v>45289</v>
      </c>
      <c r="L120" s="117">
        <v>45289</v>
      </c>
      <c r="M120" s="118">
        <v>1</v>
      </c>
      <c r="N120" s="119">
        <f>M120/$M$115</f>
        <v>0.33333333333333331</v>
      </c>
      <c r="O120" s="117"/>
      <c r="P120" s="117"/>
      <c r="Q120" s="118">
        <v>1</v>
      </c>
      <c r="R120" s="120">
        <f t="shared" ca="1" si="133"/>
        <v>0</v>
      </c>
      <c r="S120" s="120">
        <f ca="1">N120*R120</f>
        <v>0</v>
      </c>
      <c r="T120" s="120">
        <v>0</v>
      </c>
      <c r="U120" s="120">
        <f>N120*T120</f>
        <v>0</v>
      </c>
      <c r="V120" s="118" t="str">
        <f t="shared" ref="V120" ca="1" si="136">IF(T120=R120,"완료",IF(T120&lt;R120,"지연","완료"))</f>
        <v>완료</v>
      </c>
    </row>
    <row r="121" spans="1:22">
      <c r="A121" s="11">
        <v>7</v>
      </c>
      <c r="B121" s="11" t="s">
        <v>333</v>
      </c>
      <c r="C121" s="11"/>
      <c r="D121" s="12"/>
      <c r="E121" s="11"/>
      <c r="F121" s="12"/>
      <c r="G121" s="74"/>
      <c r="H121" s="74"/>
      <c r="I121" s="11"/>
      <c r="J121" s="11"/>
      <c r="K121" s="109">
        <f>MIN(K122:K130)</f>
        <v>45293</v>
      </c>
      <c r="L121" s="109">
        <f>MAX(L122:L130)</f>
        <v>45330</v>
      </c>
      <c r="M121" s="110">
        <f>SUM(M122)</f>
        <v>28</v>
      </c>
      <c r="N121" s="89">
        <f>M121/$M$6</f>
        <v>9.9644128113879002E-2</v>
      </c>
      <c r="O121" s="109">
        <f>MIN(O147:O153)</f>
        <v>0</v>
      </c>
      <c r="P121" s="109">
        <f>MAX(P147:P153)</f>
        <v>0</v>
      </c>
      <c r="Q121" s="110" t="e">
        <f>SUM(#REF!,#REF!,#REF!,#REF!,#REF!)</f>
        <v>#REF!</v>
      </c>
      <c r="R121" s="111" t="e">
        <f>AVERAGE(#REF!,#REF!,#REF!,#REF!)</f>
        <v>#REF!</v>
      </c>
      <c r="S121" s="111" t="e">
        <f>N121*R121</f>
        <v>#REF!</v>
      </c>
      <c r="T121" s="111" t="e">
        <f>AVERAGE(#REF!,#REF!,#REF!,#REF!)</f>
        <v>#REF!</v>
      </c>
      <c r="U121" s="111" t="e">
        <f>N121*T121</f>
        <v>#REF!</v>
      </c>
      <c r="V121" s="112" t="e">
        <f t="shared" ref="V121" si="137">IF(T121=R121,"완료",IF(T121&lt;R121,"지연","초과"))</f>
        <v>#REF!</v>
      </c>
    </row>
    <row r="122" spans="1:22" outlineLevel="1">
      <c r="A122" s="43">
        <v>7</v>
      </c>
      <c r="B122" s="43" t="s">
        <v>334</v>
      </c>
      <c r="C122" s="46">
        <v>7.1</v>
      </c>
      <c r="D122" s="42" t="s">
        <v>339</v>
      </c>
      <c r="E122" s="43"/>
      <c r="F122" s="44"/>
      <c r="G122" s="71"/>
      <c r="H122" s="71"/>
      <c r="I122" s="43" t="s">
        <v>341</v>
      </c>
      <c r="J122" s="43"/>
      <c r="K122" s="104">
        <f>MIN(K123:K127)</f>
        <v>45293</v>
      </c>
      <c r="L122" s="104">
        <f>MAX(L123:L127)</f>
        <v>45320</v>
      </c>
      <c r="M122" s="105">
        <f>SUM(M123:M130)</f>
        <v>28</v>
      </c>
      <c r="N122" s="106">
        <f>M122/$M$121</f>
        <v>1</v>
      </c>
      <c r="O122" s="104">
        <f>MIN(O123:O127)</f>
        <v>0</v>
      </c>
      <c r="P122" s="104">
        <f>MAX(P123:P127)</f>
        <v>0</v>
      </c>
      <c r="Q122" s="105">
        <f>NETWORKDAYS.INTL(O122,P122,1,기초데이터_삭제불가!$B$3:$B$16)</f>
        <v>0</v>
      </c>
      <c r="R122" s="107">
        <f ca="1">SUMPRODUCT(N123:N127,R123:R127)</f>
        <v>0</v>
      </c>
      <c r="S122" s="107">
        <f ca="1">N122*R122</f>
        <v>0</v>
      </c>
      <c r="T122" s="107">
        <f>AVERAGE(T123:T127)</f>
        <v>0</v>
      </c>
      <c r="U122" s="107">
        <f>N122*T122</f>
        <v>0</v>
      </c>
      <c r="V122" s="108" t="str">
        <f t="shared" ref="V122:V127" ca="1" si="138">IF(T122=R122,"완료",IF(T122&lt;R122,"지연","초과"))</f>
        <v>완료</v>
      </c>
    </row>
    <row r="123" spans="1:22" outlineLevel="2">
      <c r="A123" s="53">
        <v>7</v>
      </c>
      <c r="B123" s="53" t="s">
        <v>335</v>
      </c>
      <c r="C123" s="53">
        <v>7.1</v>
      </c>
      <c r="D123" s="54" t="s">
        <v>350</v>
      </c>
      <c r="E123" s="53" t="s">
        <v>352</v>
      </c>
      <c r="F123" s="54" t="s">
        <v>336</v>
      </c>
      <c r="G123" s="76"/>
      <c r="H123" s="76"/>
      <c r="I123" s="53" t="s">
        <v>340</v>
      </c>
      <c r="J123" s="53"/>
      <c r="K123" s="98">
        <v>45293</v>
      </c>
      <c r="L123" s="98">
        <v>45296</v>
      </c>
      <c r="M123" s="121">
        <f>NETWORKDAYS.INTL(K123,L123,1,기초데이터_삭제불가!$B$3:$B$16)</f>
        <v>4</v>
      </c>
      <c r="N123" s="99">
        <f>M123/$M$122</f>
        <v>0.14285714285714285</v>
      </c>
      <c r="O123" s="98"/>
      <c r="P123" s="98"/>
      <c r="Q123" s="121">
        <f>NETWORKDAYS.INTL(O123,P123,1,기초데이터_삭제불가!$B$3:$B$16)</f>
        <v>0</v>
      </c>
      <c r="R123" s="116">
        <f t="shared" ref="R123:R127" ca="1" si="139">IF($L$2&gt;=L123,1,IF($L$2&lt;K123,0,(($L$2-K123)+1)/(M123)))</f>
        <v>0</v>
      </c>
      <c r="S123" s="101">
        <f t="shared" ref="S123:S127" ca="1" si="140">R123*N123</f>
        <v>0</v>
      </c>
      <c r="T123" s="100">
        <v>0</v>
      </c>
      <c r="U123" s="101">
        <f t="shared" ref="U123:U127" si="141">N123*T123</f>
        <v>0</v>
      </c>
      <c r="V123" s="102" t="str">
        <f t="shared" ca="1" si="138"/>
        <v>완료</v>
      </c>
    </row>
    <row r="124" spans="1:22" outlineLevel="2">
      <c r="A124" s="53">
        <v>7</v>
      </c>
      <c r="B124" s="53" t="s">
        <v>335</v>
      </c>
      <c r="C124" s="53">
        <v>7.1</v>
      </c>
      <c r="D124" s="54" t="s">
        <v>351</v>
      </c>
      <c r="E124" s="53" t="s">
        <v>354</v>
      </c>
      <c r="F124" s="54" t="s">
        <v>342</v>
      </c>
      <c r="G124" s="76"/>
      <c r="H124" s="76"/>
      <c r="I124" s="53" t="s">
        <v>340</v>
      </c>
      <c r="J124" s="53"/>
      <c r="K124" s="98">
        <v>45299</v>
      </c>
      <c r="L124" s="98">
        <v>45300</v>
      </c>
      <c r="M124" s="121">
        <f>NETWORKDAYS.INTL(K124,L124,1,기초데이터_삭제불가!$B$3:$B$16)</f>
        <v>2</v>
      </c>
      <c r="N124" s="99">
        <f t="shared" ref="N124:N130" si="142">M124/$M$122</f>
        <v>7.1428571428571425E-2</v>
      </c>
      <c r="O124" s="98"/>
      <c r="P124" s="98"/>
      <c r="Q124" s="121">
        <f>NETWORKDAYS.INTL(O124,P124,1,기초데이터_삭제불가!$B$3:$B$16)</f>
        <v>0</v>
      </c>
      <c r="R124" s="116">
        <f t="shared" ref="R124" ca="1" si="143">IF($L$2&gt;=L124,1,IF($L$2&lt;K124,0,(($L$2-K124)+1)/(M124)))</f>
        <v>0</v>
      </c>
      <c r="S124" s="101">
        <f t="shared" ref="S124" ca="1" si="144">R124*N124</f>
        <v>0</v>
      </c>
      <c r="T124" s="100">
        <v>0</v>
      </c>
      <c r="U124" s="101">
        <f t="shared" ref="U124" si="145">N124*T124</f>
        <v>0</v>
      </c>
      <c r="V124" s="102" t="str">
        <f t="shared" ref="V124" ca="1" si="146">IF(T124=R124,"완료",IF(T124&lt;R124,"지연","초과"))</f>
        <v>완료</v>
      </c>
    </row>
    <row r="125" spans="1:22" outlineLevel="2">
      <c r="A125" s="2">
        <v>7</v>
      </c>
      <c r="B125" s="53" t="s">
        <v>335</v>
      </c>
      <c r="C125" s="2">
        <v>7.1</v>
      </c>
      <c r="D125" s="54" t="s">
        <v>350</v>
      </c>
      <c r="E125" s="53" t="s">
        <v>355</v>
      </c>
      <c r="F125" s="54" t="s">
        <v>337</v>
      </c>
      <c r="I125" s="2" t="s">
        <v>10</v>
      </c>
      <c r="K125" s="98">
        <v>45301</v>
      </c>
      <c r="L125" s="98">
        <v>45308</v>
      </c>
      <c r="M125" s="97">
        <f>NETWORKDAYS.INTL(K125,L125,1,기초데이터_삭제불가!$B$3:$B$16)</f>
        <v>6</v>
      </c>
      <c r="N125" s="99">
        <f t="shared" si="142"/>
        <v>0.21428571428571427</v>
      </c>
      <c r="O125" s="98"/>
      <c r="P125" s="98"/>
      <c r="Q125" s="97">
        <f>NETWORKDAYS.INTL(O125,P125,1,기초데이터_삭제불가!$B$3:$B$16)</f>
        <v>0</v>
      </c>
      <c r="R125" s="116">
        <f t="shared" ref="R125" ca="1" si="147">IF($L$2&gt;=L125,1,IF($L$2&lt;K125,0,(($L$2-K125)+1)/(M125)))</f>
        <v>0</v>
      </c>
      <c r="S125" s="101">
        <f t="shared" ref="S125" ca="1" si="148">R125*N125</f>
        <v>0</v>
      </c>
      <c r="T125" s="100">
        <v>0</v>
      </c>
      <c r="U125" s="101">
        <f t="shared" ref="U125" si="149">N125*T125</f>
        <v>0</v>
      </c>
      <c r="V125" s="102" t="str">
        <f t="shared" ref="V125" ca="1" si="150">IF(T125=R125,"완료",IF(T125&lt;R125,"지연","초과"))</f>
        <v>완료</v>
      </c>
    </row>
    <row r="126" spans="1:22" outlineLevel="2">
      <c r="A126" s="2">
        <v>7</v>
      </c>
      <c r="B126" s="53" t="s">
        <v>335</v>
      </c>
      <c r="C126" s="2">
        <v>7.1</v>
      </c>
      <c r="D126" s="54" t="s">
        <v>351</v>
      </c>
      <c r="E126" s="53" t="s">
        <v>356</v>
      </c>
      <c r="F126" s="54" t="s">
        <v>343</v>
      </c>
      <c r="I126" s="2" t="s">
        <v>10</v>
      </c>
      <c r="K126" s="98">
        <v>45309</v>
      </c>
      <c r="L126" s="98">
        <v>45310</v>
      </c>
      <c r="M126" s="97">
        <f>NETWORKDAYS.INTL(K126,L126,1,기초데이터_삭제불가!$B$3:$B$16)</f>
        <v>2</v>
      </c>
      <c r="N126" s="99">
        <f t="shared" si="142"/>
        <v>7.1428571428571425E-2</v>
      </c>
      <c r="O126" s="98"/>
      <c r="P126" s="98"/>
      <c r="Q126" s="97">
        <f>NETWORKDAYS.INTL(O126,P126,1,기초데이터_삭제불가!$B$3:$B$16)</f>
        <v>0</v>
      </c>
      <c r="R126" s="116">
        <f t="shared" ref="R126" ca="1" si="151">IF($L$2&gt;=L126,1,IF($L$2&lt;K126,0,(($L$2-K126)+1)/(M126)))</f>
        <v>0</v>
      </c>
      <c r="S126" s="101">
        <f t="shared" ref="S126" ca="1" si="152">R126*N126</f>
        <v>0</v>
      </c>
      <c r="T126" s="100">
        <v>0</v>
      </c>
      <c r="U126" s="101">
        <f t="shared" ref="U126" si="153">N126*T126</f>
        <v>0</v>
      </c>
      <c r="V126" s="102" t="str">
        <f t="shared" ref="V126" ca="1" si="154">IF(T126=R126,"완료",IF(T126&lt;R126,"지연","초과"))</f>
        <v>완료</v>
      </c>
    </row>
    <row r="127" spans="1:22" outlineLevel="2">
      <c r="A127" s="2">
        <v>7</v>
      </c>
      <c r="B127" s="53" t="s">
        <v>335</v>
      </c>
      <c r="C127" s="2">
        <v>7.1</v>
      </c>
      <c r="D127" s="54" t="s">
        <v>350</v>
      </c>
      <c r="E127" s="53" t="s">
        <v>357</v>
      </c>
      <c r="F127" s="4" t="s">
        <v>338</v>
      </c>
      <c r="I127" s="2" t="s">
        <v>10</v>
      </c>
      <c r="K127" s="98">
        <v>45313</v>
      </c>
      <c r="L127" s="98">
        <v>45320</v>
      </c>
      <c r="M127" s="97">
        <f>NETWORKDAYS.INTL(K127,L127,1,기초데이터_삭제불가!$B$3:$B$16)</f>
        <v>6</v>
      </c>
      <c r="N127" s="99">
        <f t="shared" si="142"/>
        <v>0.21428571428571427</v>
      </c>
      <c r="O127" s="98"/>
      <c r="P127" s="98"/>
      <c r="Q127" s="97">
        <f>NETWORKDAYS.INTL(O127,P127,1,기초데이터_삭제불가!$B$3:$B$16)</f>
        <v>0</v>
      </c>
      <c r="R127" s="116">
        <f t="shared" ca="1" si="139"/>
        <v>0</v>
      </c>
      <c r="S127" s="101">
        <f t="shared" ca="1" si="140"/>
        <v>0</v>
      </c>
      <c r="T127" s="100">
        <v>0</v>
      </c>
      <c r="U127" s="101">
        <f t="shared" si="141"/>
        <v>0</v>
      </c>
      <c r="V127" s="102" t="str">
        <f t="shared" ca="1" si="138"/>
        <v>완료</v>
      </c>
    </row>
    <row r="128" spans="1:22" outlineLevel="2">
      <c r="A128" s="2">
        <v>7</v>
      </c>
      <c r="B128" s="53" t="s">
        <v>335</v>
      </c>
      <c r="C128" s="2">
        <v>7.1</v>
      </c>
      <c r="D128" s="54" t="s">
        <v>351</v>
      </c>
      <c r="E128" s="53" t="s">
        <v>358</v>
      </c>
      <c r="F128" s="4" t="s">
        <v>344</v>
      </c>
      <c r="I128" s="2" t="s">
        <v>10</v>
      </c>
      <c r="K128" s="98">
        <v>45321</v>
      </c>
      <c r="L128" s="98">
        <v>45322</v>
      </c>
      <c r="M128" s="97">
        <f>NETWORKDAYS.INTL(K128,L128,1,기초데이터_삭제불가!$B$3:$B$16)</f>
        <v>2</v>
      </c>
      <c r="N128" s="99">
        <f t="shared" si="142"/>
        <v>7.1428571428571425E-2</v>
      </c>
      <c r="O128" s="98"/>
      <c r="P128" s="98"/>
      <c r="Q128" s="97">
        <f>NETWORKDAYS.INTL(O128,P128,1,기초데이터_삭제불가!$B$3:$B$16)</f>
        <v>0</v>
      </c>
      <c r="R128" s="116">
        <f t="shared" ref="R128:R130" ca="1" si="155">IF($L$2&gt;=L128,1,IF($L$2&lt;K128,0,(($L$2-K128)+1)/(M128)))</f>
        <v>0</v>
      </c>
      <c r="S128" s="101">
        <f t="shared" ref="S128" ca="1" si="156">R128*N128</f>
        <v>0</v>
      </c>
      <c r="T128" s="100">
        <v>0</v>
      </c>
      <c r="U128" s="101">
        <f t="shared" ref="U128" si="157">N128*T128</f>
        <v>0</v>
      </c>
      <c r="V128" s="102" t="str">
        <f t="shared" ref="V128" ca="1" si="158">IF(T128=R128,"완료",IF(T128&lt;R128,"지연","초과"))</f>
        <v>완료</v>
      </c>
    </row>
    <row r="129" spans="1:22" outlineLevel="2">
      <c r="A129" s="2">
        <v>7</v>
      </c>
      <c r="B129" s="53" t="s">
        <v>335</v>
      </c>
      <c r="C129" s="2">
        <v>7.1</v>
      </c>
      <c r="D129" s="54" t="s">
        <v>350</v>
      </c>
      <c r="E129" s="53" t="s">
        <v>359</v>
      </c>
      <c r="F129" s="4" t="s">
        <v>345</v>
      </c>
      <c r="I129" s="2" t="s">
        <v>10</v>
      </c>
      <c r="K129" s="98">
        <v>45323</v>
      </c>
      <c r="L129" s="98">
        <v>45328</v>
      </c>
      <c r="M129" s="97">
        <f>NETWORKDAYS.INTL(K129,L129,1,기초데이터_삭제불가!$B$3:$B$16)</f>
        <v>4</v>
      </c>
      <c r="N129" s="99">
        <f t="shared" si="142"/>
        <v>0.14285714285714285</v>
      </c>
      <c r="O129" s="98"/>
      <c r="P129" s="98"/>
      <c r="Q129" s="97">
        <f>NETWORKDAYS.INTL(O129,P129,1,기초데이터_삭제불가!$B$3:$B$16)</f>
        <v>0</v>
      </c>
      <c r="R129" s="116">
        <f t="shared" ca="1" si="155"/>
        <v>0</v>
      </c>
      <c r="S129" s="101">
        <f t="shared" ref="S129" ca="1" si="159">R129*N129</f>
        <v>0</v>
      </c>
      <c r="T129" s="100">
        <v>0</v>
      </c>
      <c r="U129" s="101">
        <f t="shared" ref="U129" si="160">N129*T129</f>
        <v>0</v>
      </c>
      <c r="V129" s="102" t="str">
        <f t="shared" ref="V129" ca="1" si="161">IF(T129=R129,"완료",IF(T129&lt;R129,"지연","초과"))</f>
        <v>완료</v>
      </c>
    </row>
    <row r="130" spans="1:22" outlineLevel="2">
      <c r="A130" s="2">
        <v>7</v>
      </c>
      <c r="B130" s="53" t="s">
        <v>335</v>
      </c>
      <c r="C130" s="2">
        <v>7.1</v>
      </c>
      <c r="D130" s="54" t="s">
        <v>351</v>
      </c>
      <c r="E130" s="53" t="s">
        <v>360</v>
      </c>
      <c r="F130" s="4" t="s">
        <v>346</v>
      </c>
      <c r="I130" s="2" t="s">
        <v>10</v>
      </c>
      <c r="K130" s="98">
        <v>45329</v>
      </c>
      <c r="L130" s="98">
        <v>45330</v>
      </c>
      <c r="M130" s="97">
        <f>NETWORKDAYS.INTL(K130,L130,1,기초데이터_삭제불가!$B$3:$B$16)</f>
        <v>2</v>
      </c>
      <c r="N130" s="99">
        <f t="shared" si="142"/>
        <v>7.1428571428571425E-2</v>
      </c>
      <c r="O130" s="98"/>
      <c r="P130" s="98"/>
      <c r="Q130" s="97">
        <f>NETWORKDAYS.INTL(O130,P130,1,기초데이터_삭제불가!$B$3:$B$16)</f>
        <v>0</v>
      </c>
      <c r="R130" s="116">
        <f t="shared" ca="1" si="155"/>
        <v>0</v>
      </c>
      <c r="S130" s="101">
        <f t="shared" ref="S130" ca="1" si="162">R130*N130</f>
        <v>0</v>
      </c>
      <c r="T130" s="100">
        <v>0</v>
      </c>
      <c r="U130" s="101">
        <f t="shared" ref="U130" si="163">N130*T130</f>
        <v>0</v>
      </c>
      <c r="V130" s="102" t="str">
        <f t="shared" ref="V130:V143" ca="1" si="164">IF(T130=R130,"완료",IF(T130&lt;R130,"지연","초과"))</f>
        <v>완료</v>
      </c>
    </row>
    <row r="131" spans="1:22">
      <c r="A131" s="11">
        <v>8</v>
      </c>
      <c r="B131" s="123" t="s">
        <v>347</v>
      </c>
      <c r="C131" s="11"/>
      <c r="D131" s="12"/>
      <c r="E131" s="11"/>
      <c r="F131" s="12"/>
      <c r="G131" s="74"/>
      <c r="H131" s="74"/>
      <c r="I131" s="11"/>
      <c r="J131" s="11"/>
      <c r="K131" s="109">
        <f>MIN(K132:K140)</f>
        <v>45331</v>
      </c>
      <c r="L131" s="109">
        <f>MAX(L132:L140)</f>
        <v>45345</v>
      </c>
      <c r="M131" s="110">
        <f>SUM(M132,M135,M138)</f>
        <v>10</v>
      </c>
      <c r="N131" s="89">
        <f>M131/$M$6</f>
        <v>3.5587188612099648E-2</v>
      </c>
      <c r="O131" s="109">
        <f>MIN(O132:O140)</f>
        <v>0</v>
      </c>
      <c r="P131" s="109">
        <f>MAX(P132:P140)</f>
        <v>0</v>
      </c>
      <c r="Q131" s="110" t="e">
        <f>SUM(Q132,Q135,Q138,#REF!,#REF!)</f>
        <v>#REF!</v>
      </c>
      <c r="R131" s="111" t="e">
        <f>AVERAGE(R132,R135,R138,#REF!,#REF!)</f>
        <v>#REF!</v>
      </c>
      <c r="S131" s="111" t="e">
        <f>N131*R131</f>
        <v>#REF!</v>
      </c>
      <c r="T131" s="111" t="e">
        <f>AVERAGE(T132,T135,T138,#REF!,#REF!)</f>
        <v>#REF!</v>
      </c>
      <c r="U131" s="111" t="e">
        <f>N131*T131</f>
        <v>#REF!</v>
      </c>
      <c r="V131" s="112" t="e">
        <f t="shared" si="164"/>
        <v>#REF!</v>
      </c>
    </row>
    <row r="132" spans="1:22" outlineLevel="1">
      <c r="A132" s="43">
        <v>8</v>
      </c>
      <c r="B132" s="43" t="s">
        <v>15</v>
      </c>
      <c r="C132" s="46">
        <v>8.1</v>
      </c>
      <c r="D132" s="42" t="s">
        <v>198</v>
      </c>
      <c r="E132" s="43"/>
      <c r="F132" s="51"/>
      <c r="G132" s="64"/>
      <c r="H132" s="64"/>
      <c r="I132" s="43" t="s">
        <v>329</v>
      </c>
      <c r="J132" s="43"/>
      <c r="K132" s="104">
        <f>MIN(K133:K134)</f>
        <v>45331</v>
      </c>
      <c r="L132" s="104">
        <f>MAX(L133:L133)</f>
        <v>45331</v>
      </c>
      <c r="M132" s="105">
        <f>SUM(M133:M134)</f>
        <v>5</v>
      </c>
      <c r="N132" s="106">
        <f>M132/$M$131</f>
        <v>0.5</v>
      </c>
      <c r="O132" s="104">
        <f>MIN(O133:O134)</f>
        <v>0</v>
      </c>
      <c r="P132" s="104">
        <f>MAX(P133:P133)</f>
        <v>0</v>
      </c>
      <c r="Q132" s="105">
        <f>SUM(Q133:Q134)</f>
        <v>0</v>
      </c>
      <c r="R132" s="107">
        <f ca="1">SUMPRODUCT(N133:N134,R133:R134)</f>
        <v>0</v>
      </c>
      <c r="S132" s="107">
        <f ca="1">N132*R132</f>
        <v>0</v>
      </c>
      <c r="T132" s="107">
        <f>AVERAGE(T133:T134)</f>
        <v>0</v>
      </c>
      <c r="U132" s="107">
        <f>N132*T132</f>
        <v>0</v>
      </c>
      <c r="V132" s="108" t="str">
        <f t="shared" ca="1" si="164"/>
        <v>완료</v>
      </c>
    </row>
    <row r="133" spans="1:22" outlineLevel="2">
      <c r="A133" s="2">
        <v>8</v>
      </c>
      <c r="B133" s="2" t="s">
        <v>15</v>
      </c>
      <c r="C133" s="2">
        <v>8.1</v>
      </c>
      <c r="D133" s="4" t="s">
        <v>78</v>
      </c>
      <c r="E133" s="2" t="s">
        <v>361</v>
      </c>
      <c r="F133" s="4" t="s">
        <v>76</v>
      </c>
      <c r="G133" s="70" t="s">
        <v>78</v>
      </c>
      <c r="H133" s="63"/>
      <c r="I133" s="45" t="s">
        <v>195</v>
      </c>
      <c r="K133" s="98">
        <v>45331</v>
      </c>
      <c r="L133" s="98">
        <v>45331</v>
      </c>
      <c r="M133" s="97">
        <f>NETWORKDAYS.INTL(K133,L133,1,기초데이터_삭제불가!$B$3:$B$16)</f>
        <v>1</v>
      </c>
      <c r="N133" s="99">
        <f>M133/$M$132</f>
        <v>0.2</v>
      </c>
      <c r="O133" s="98"/>
      <c r="P133" s="98"/>
      <c r="Q133" s="97">
        <f>NETWORKDAYS.INTL(O133,P133,1,기초데이터_삭제불가!$B$3:$B$16)</f>
        <v>0</v>
      </c>
      <c r="R133" s="100">
        <f t="shared" ref="R133:R134" ca="1" si="165">IF($L$2&gt;=L133,1,IF($L$2&lt;K133,0,(($L$2-K133)+1)/(M133)))</f>
        <v>0</v>
      </c>
      <c r="S133" s="101">
        <f t="shared" ref="S133:S134" ca="1" si="166">R133*N133</f>
        <v>0</v>
      </c>
      <c r="T133" s="100">
        <v>0</v>
      </c>
      <c r="U133" s="101">
        <f t="shared" ref="U133:U134" si="167">N133*T133</f>
        <v>0</v>
      </c>
      <c r="V133" s="102" t="str">
        <f t="shared" ca="1" si="164"/>
        <v>완료</v>
      </c>
    </row>
    <row r="134" spans="1:22" outlineLevel="2">
      <c r="A134" s="2">
        <v>8</v>
      </c>
      <c r="B134" s="2" t="s">
        <v>15</v>
      </c>
      <c r="C134" s="2">
        <v>8.1</v>
      </c>
      <c r="D134" s="4" t="s">
        <v>77</v>
      </c>
      <c r="E134" s="2" t="s">
        <v>362</v>
      </c>
      <c r="F134" s="4" t="s">
        <v>328</v>
      </c>
      <c r="G134" s="63" t="s">
        <v>327</v>
      </c>
      <c r="H134" s="63"/>
      <c r="I134" s="45" t="s">
        <v>195</v>
      </c>
      <c r="K134" s="98">
        <v>45335</v>
      </c>
      <c r="L134" s="98">
        <v>45338</v>
      </c>
      <c r="M134" s="97">
        <f>NETWORKDAYS.INTL(K134,L134,1,기초데이터_삭제불가!$B$3:$B$16)</f>
        <v>4</v>
      </c>
      <c r="N134" s="99">
        <f>M134/$M$132</f>
        <v>0.8</v>
      </c>
      <c r="O134" s="98"/>
      <c r="P134" s="98"/>
      <c r="Q134" s="97">
        <f>NETWORKDAYS.INTL(O134,P134,1,기초데이터_삭제불가!$B$3:$B$16)</f>
        <v>0</v>
      </c>
      <c r="R134" s="100">
        <f t="shared" ca="1" si="165"/>
        <v>0</v>
      </c>
      <c r="S134" s="101">
        <f t="shared" ca="1" si="166"/>
        <v>0</v>
      </c>
      <c r="T134" s="100">
        <v>0</v>
      </c>
      <c r="U134" s="101">
        <f t="shared" si="167"/>
        <v>0</v>
      </c>
      <c r="V134" s="102" t="str">
        <f t="shared" ca="1" si="164"/>
        <v>완료</v>
      </c>
    </row>
    <row r="135" spans="1:22" outlineLevel="1">
      <c r="A135" s="43">
        <v>8</v>
      </c>
      <c r="B135" s="43" t="s">
        <v>15</v>
      </c>
      <c r="C135" s="46">
        <v>8.1999999999999993</v>
      </c>
      <c r="D135" s="42" t="s">
        <v>34</v>
      </c>
      <c r="E135" s="43"/>
      <c r="F135" s="44"/>
      <c r="G135" s="71"/>
      <c r="H135" s="71"/>
      <c r="I135" s="43" t="s">
        <v>329</v>
      </c>
      <c r="J135" s="43"/>
      <c r="K135" s="104">
        <f>MIN(K136:K137)</f>
        <v>45341</v>
      </c>
      <c r="L135" s="104">
        <f>MAX(L136:L137)</f>
        <v>45343</v>
      </c>
      <c r="M135" s="105">
        <f>SUM(M136:M137)</f>
        <v>3</v>
      </c>
      <c r="N135" s="106">
        <f>M135/$M$131</f>
        <v>0.3</v>
      </c>
      <c r="O135" s="104">
        <f>MIN(O136:O137)</f>
        <v>0</v>
      </c>
      <c r="P135" s="104">
        <f>MAX(P136:P136)</f>
        <v>0</v>
      </c>
      <c r="Q135" s="105">
        <f>SUM(Q136:Q137)</f>
        <v>0</v>
      </c>
      <c r="R135" s="107">
        <f ca="1">SUMPRODUCT(N136:N137,R136:R137)</f>
        <v>0</v>
      </c>
      <c r="S135" s="107">
        <f ca="1">N135*R135</f>
        <v>0</v>
      </c>
      <c r="T135" s="107">
        <f>AVERAGE(T136:T137)</f>
        <v>0</v>
      </c>
      <c r="U135" s="107">
        <f>N135*T135</f>
        <v>0</v>
      </c>
      <c r="V135" s="108" t="str">
        <f t="shared" ca="1" si="164"/>
        <v>완료</v>
      </c>
    </row>
    <row r="136" spans="1:22" outlineLevel="2">
      <c r="A136" s="2">
        <v>8</v>
      </c>
      <c r="B136" s="2" t="s">
        <v>15</v>
      </c>
      <c r="C136" s="2">
        <v>8.1999999999999993</v>
      </c>
      <c r="D136" s="4" t="s">
        <v>79</v>
      </c>
      <c r="E136" s="2" t="s">
        <v>363</v>
      </c>
      <c r="F136" s="4" t="s">
        <v>82</v>
      </c>
      <c r="G136" s="70" t="s">
        <v>85</v>
      </c>
      <c r="I136" s="45" t="s">
        <v>195</v>
      </c>
      <c r="K136" s="98">
        <v>45341</v>
      </c>
      <c r="L136" s="98">
        <v>45341</v>
      </c>
      <c r="M136" s="97">
        <v>1</v>
      </c>
      <c r="N136" s="99">
        <f>M136/$M$132</f>
        <v>0.2</v>
      </c>
      <c r="O136" s="98"/>
      <c r="P136" s="98"/>
      <c r="Q136" s="97">
        <f>NETWORKDAYS.INTL(O136,P136,1,기초데이터_삭제불가!$B$3:$B$16)</f>
        <v>0</v>
      </c>
      <c r="R136" s="100">
        <f t="shared" ref="R136:R137" ca="1" si="168">IF($L$2&gt;=L136,1,IF($L$2&lt;K136,0,(($L$2-K136)+1)/(M136)))</f>
        <v>0</v>
      </c>
      <c r="S136" s="101">
        <f t="shared" ref="S136:S137" ca="1" si="169">R136*N136</f>
        <v>0</v>
      </c>
      <c r="T136" s="100">
        <v>0</v>
      </c>
      <c r="U136" s="101">
        <f t="shared" ref="U136:U137" si="170">N136*T136</f>
        <v>0</v>
      </c>
      <c r="V136" s="102" t="str">
        <f t="shared" ca="1" si="164"/>
        <v>완료</v>
      </c>
    </row>
    <row r="137" spans="1:22" outlineLevel="2">
      <c r="A137" s="2">
        <v>8</v>
      </c>
      <c r="B137" s="2" t="s">
        <v>15</v>
      </c>
      <c r="C137" s="2">
        <v>8.1999999999999993</v>
      </c>
      <c r="D137" s="4" t="s">
        <v>80</v>
      </c>
      <c r="E137" s="2" t="s">
        <v>364</v>
      </c>
      <c r="F137" s="4" t="s">
        <v>80</v>
      </c>
      <c r="G137" s="70" t="s">
        <v>86</v>
      </c>
      <c r="I137" s="45" t="s">
        <v>195</v>
      </c>
      <c r="K137" s="98">
        <v>45342</v>
      </c>
      <c r="L137" s="98">
        <v>45343</v>
      </c>
      <c r="M137" s="97">
        <f>NETWORKDAYS.INTL(K137,L137,1,기초데이터_삭제불가!$B$3:$B$16)</f>
        <v>2</v>
      </c>
      <c r="N137" s="99">
        <f>M137/$M$132</f>
        <v>0.4</v>
      </c>
      <c r="O137" s="98"/>
      <c r="P137" s="98"/>
      <c r="Q137" s="97">
        <f>NETWORKDAYS.INTL(O137,P137,1,기초데이터_삭제불가!$B$3:$B$16)</f>
        <v>0</v>
      </c>
      <c r="R137" s="100">
        <f t="shared" ca="1" si="168"/>
        <v>0</v>
      </c>
      <c r="S137" s="101">
        <f t="shared" ca="1" si="169"/>
        <v>0</v>
      </c>
      <c r="T137" s="100">
        <v>0</v>
      </c>
      <c r="U137" s="101">
        <f t="shared" si="170"/>
        <v>0</v>
      </c>
      <c r="V137" s="102" t="str">
        <f t="shared" ca="1" si="164"/>
        <v>완료</v>
      </c>
    </row>
    <row r="138" spans="1:22" outlineLevel="1">
      <c r="A138" s="43">
        <v>8</v>
      </c>
      <c r="B138" s="43" t="s">
        <v>15</v>
      </c>
      <c r="C138" s="46">
        <v>8.3000000000000007</v>
      </c>
      <c r="D138" s="42" t="s">
        <v>87</v>
      </c>
      <c r="E138" s="43"/>
      <c r="F138" s="44"/>
      <c r="G138" s="71"/>
      <c r="H138" s="71"/>
      <c r="I138" s="43" t="s">
        <v>329</v>
      </c>
      <c r="J138" s="43"/>
      <c r="K138" s="104">
        <f>MIN(K139:K140)</f>
        <v>45344</v>
      </c>
      <c r="L138" s="104">
        <f>MAX(L139:L140)</f>
        <v>45345</v>
      </c>
      <c r="M138" s="105">
        <f>SUM(M139:M140)</f>
        <v>2</v>
      </c>
      <c r="N138" s="106">
        <f>M138/$M$131</f>
        <v>0.2</v>
      </c>
      <c r="O138" s="104">
        <f>MIN(O139:O140)</f>
        <v>0</v>
      </c>
      <c r="P138" s="104">
        <f>MAX(P139:P139)</f>
        <v>0</v>
      </c>
      <c r="Q138" s="105">
        <f>SUM(Q139:Q140)</f>
        <v>0</v>
      </c>
      <c r="R138" s="107">
        <f ca="1">SUMPRODUCT(N139:N140,R139:R140)</f>
        <v>0</v>
      </c>
      <c r="S138" s="107">
        <f ca="1">N138*R138</f>
        <v>0</v>
      </c>
      <c r="T138" s="107">
        <f>AVERAGE(T139:T140)</f>
        <v>0</v>
      </c>
      <c r="U138" s="107">
        <f>N138*T138</f>
        <v>0</v>
      </c>
      <c r="V138" s="108" t="str">
        <f t="shared" ca="1" si="164"/>
        <v>완료</v>
      </c>
    </row>
    <row r="139" spans="1:22" outlineLevel="2">
      <c r="A139" s="2">
        <v>8</v>
      </c>
      <c r="B139" s="2" t="s">
        <v>15</v>
      </c>
      <c r="C139" s="13">
        <v>8.3000000000000007</v>
      </c>
      <c r="D139" s="4" t="s">
        <v>83</v>
      </c>
      <c r="E139" s="2" t="s">
        <v>365</v>
      </c>
      <c r="F139" s="4" t="s">
        <v>88</v>
      </c>
      <c r="G139" s="63" t="s">
        <v>83</v>
      </c>
      <c r="H139" s="63"/>
      <c r="I139" s="45" t="s">
        <v>195</v>
      </c>
      <c r="K139" s="98">
        <v>45344</v>
      </c>
      <c r="L139" s="98">
        <v>45344</v>
      </c>
      <c r="M139" s="97">
        <f>NETWORKDAYS.INTL(K139,L139,1,기초데이터_삭제불가!$B$3:$B$16)</f>
        <v>1</v>
      </c>
      <c r="N139" s="99">
        <f>M139/$M$132</f>
        <v>0.2</v>
      </c>
      <c r="O139" s="98"/>
      <c r="P139" s="98"/>
      <c r="Q139" s="97">
        <f>NETWORKDAYS.INTL(O139,P139,1,기초데이터_삭제불가!$B$3:$B$16)</f>
        <v>0</v>
      </c>
      <c r="R139" s="100">
        <f t="shared" ref="R139:R140" ca="1" si="171">IF($L$2&gt;=L139,1,IF($L$2&lt;K139,0,(($L$2-K139)+1)/(M139)))</f>
        <v>0</v>
      </c>
      <c r="S139" s="101">
        <f t="shared" ref="S139:S140" ca="1" si="172">R139*N139</f>
        <v>0</v>
      </c>
      <c r="T139" s="100">
        <v>0</v>
      </c>
      <c r="U139" s="101">
        <f t="shared" ref="U139:U143" si="173">N139*T139</f>
        <v>0</v>
      </c>
      <c r="V139" s="102" t="str">
        <f t="shared" ca="1" si="164"/>
        <v>완료</v>
      </c>
    </row>
    <row r="140" spans="1:22" outlineLevel="2">
      <c r="A140" s="2">
        <v>8</v>
      </c>
      <c r="B140" s="2" t="s">
        <v>15</v>
      </c>
      <c r="C140" s="13">
        <v>8.3000000000000007</v>
      </c>
      <c r="D140" s="4" t="s">
        <v>84</v>
      </c>
      <c r="E140" s="2" t="s">
        <v>366</v>
      </c>
      <c r="F140" s="4" t="s">
        <v>84</v>
      </c>
      <c r="G140" s="63" t="s">
        <v>89</v>
      </c>
      <c r="H140" s="63"/>
      <c r="I140" s="45" t="s">
        <v>195</v>
      </c>
      <c r="K140" s="98">
        <v>45345</v>
      </c>
      <c r="L140" s="98">
        <v>45345</v>
      </c>
      <c r="M140" s="97">
        <f>NETWORKDAYS.INTL(K140,L140,1,기초데이터_삭제불가!$B$3:$B$16)</f>
        <v>1</v>
      </c>
      <c r="N140" s="99">
        <f>M140/$M$132</f>
        <v>0.2</v>
      </c>
      <c r="O140" s="98"/>
      <c r="P140" s="98"/>
      <c r="Q140" s="97">
        <f>NETWORKDAYS.INTL(O140,P140,1,기초데이터_삭제불가!$B$3:$B$16)</f>
        <v>0</v>
      </c>
      <c r="R140" s="100">
        <f t="shared" ca="1" si="171"/>
        <v>0</v>
      </c>
      <c r="S140" s="101">
        <f t="shared" ca="1" si="172"/>
        <v>0</v>
      </c>
      <c r="T140" s="100">
        <v>0</v>
      </c>
      <c r="U140" s="101">
        <f t="shared" si="173"/>
        <v>0</v>
      </c>
      <c r="V140" s="102" t="str">
        <f t="shared" ca="1" si="164"/>
        <v>완료</v>
      </c>
    </row>
    <row r="141" spans="1:22">
      <c r="A141" s="11">
        <v>9</v>
      </c>
      <c r="B141" s="123" t="s">
        <v>348</v>
      </c>
      <c r="C141" s="11"/>
      <c r="D141" s="12"/>
      <c r="E141" s="11"/>
      <c r="F141" s="12"/>
      <c r="G141" s="74"/>
      <c r="H141" s="74"/>
      <c r="I141" s="11"/>
      <c r="J141" s="11"/>
      <c r="K141" s="109">
        <f>MIN(K143:K146)</f>
        <v>45348</v>
      </c>
      <c r="L141" s="109">
        <f>MAX(L142:L146)</f>
        <v>45351</v>
      </c>
      <c r="M141" s="110">
        <f>SUM(M142,M144,M146)</f>
        <v>4</v>
      </c>
      <c r="N141" s="89">
        <f>M141/$M$6</f>
        <v>1.4234875444839857E-2</v>
      </c>
      <c r="O141" s="109">
        <f>MIN(O142:O146)</f>
        <v>0</v>
      </c>
      <c r="P141" s="109">
        <f>MAX(P142:P146)</f>
        <v>0</v>
      </c>
      <c r="Q141" s="110">
        <f>SUM(Q142,Q144,Q146)</f>
        <v>2</v>
      </c>
      <c r="R141" s="111">
        <f ca="1">AVERAGE(R142,R144,R146)</f>
        <v>0</v>
      </c>
      <c r="S141" s="111">
        <f ca="1">N141*R141</f>
        <v>0</v>
      </c>
      <c r="T141" s="111">
        <f>AVERAGE(T142,T144,T146)</f>
        <v>0</v>
      </c>
      <c r="U141" s="111">
        <f t="shared" si="173"/>
        <v>0</v>
      </c>
      <c r="V141" s="112" t="str">
        <f t="shared" ca="1" si="164"/>
        <v>완료</v>
      </c>
    </row>
    <row r="142" spans="1:22" outlineLevel="1">
      <c r="A142" s="43">
        <v>9</v>
      </c>
      <c r="B142" s="43" t="s">
        <v>1</v>
      </c>
      <c r="C142" s="46">
        <v>9.1</v>
      </c>
      <c r="D142" s="42" t="s">
        <v>90</v>
      </c>
      <c r="E142" s="43"/>
      <c r="F142" s="44"/>
      <c r="G142" s="71"/>
      <c r="H142" s="71"/>
      <c r="I142" s="43" t="s">
        <v>161</v>
      </c>
      <c r="J142" s="43"/>
      <c r="K142" s="104">
        <f>MIN(K143:K143)</f>
        <v>45348</v>
      </c>
      <c r="L142" s="104">
        <f>MAX(L143:L143)</f>
        <v>45348</v>
      </c>
      <c r="M142" s="105">
        <f>SUM(M143:M143)</f>
        <v>1</v>
      </c>
      <c r="N142" s="106">
        <f>M142/$M$141</f>
        <v>0.25</v>
      </c>
      <c r="O142" s="104">
        <f>MIN(O143:O143)</f>
        <v>0</v>
      </c>
      <c r="P142" s="104">
        <f>MAX(P143:P143)</f>
        <v>0</v>
      </c>
      <c r="Q142" s="105">
        <f>SUM(Q143:Q143)</f>
        <v>0</v>
      </c>
      <c r="R142" s="107">
        <f ca="1">SUMPRODUCT(N143:N143,R143:R143)</f>
        <v>0</v>
      </c>
      <c r="S142" s="107">
        <f ca="1">N142*R142</f>
        <v>0</v>
      </c>
      <c r="T142" s="107">
        <f>AVERAGE(T143:T143)</f>
        <v>0</v>
      </c>
      <c r="U142" s="107">
        <f t="shared" si="173"/>
        <v>0</v>
      </c>
      <c r="V142" s="108" t="str">
        <f t="shared" ca="1" si="164"/>
        <v>완료</v>
      </c>
    </row>
    <row r="143" spans="1:22" outlineLevel="2">
      <c r="A143" s="2">
        <v>9</v>
      </c>
      <c r="B143" s="2" t="s">
        <v>1</v>
      </c>
      <c r="C143" s="2">
        <v>9.1</v>
      </c>
      <c r="D143" s="4" t="s">
        <v>200</v>
      </c>
      <c r="G143" s="70" t="s">
        <v>199</v>
      </c>
      <c r="H143" s="63"/>
      <c r="I143" s="2" t="s">
        <v>331</v>
      </c>
      <c r="K143" s="98">
        <v>45348</v>
      </c>
      <c r="L143" s="98">
        <v>45348</v>
      </c>
      <c r="M143" s="97">
        <v>1</v>
      </c>
      <c r="N143" s="99">
        <f>M143/$M$141</f>
        <v>0.25</v>
      </c>
      <c r="O143" s="98"/>
      <c r="P143" s="98"/>
      <c r="Q143" s="97">
        <f>NETWORKDAYS.INTL(O143,P143,1,기초데이터_삭제불가!$B$3:$B$16)</f>
        <v>0</v>
      </c>
      <c r="R143" s="100">
        <f t="shared" ref="R143" ca="1" si="174">IF($L$2&gt;=L143,1,IF($L$2&lt;K143,0,(($L$2-K143)+1)/(M143)))</f>
        <v>0</v>
      </c>
      <c r="S143" s="101">
        <f t="shared" ref="S143" ca="1" si="175">R143*N143</f>
        <v>0</v>
      </c>
      <c r="T143" s="100">
        <v>0</v>
      </c>
      <c r="U143" s="101">
        <f t="shared" si="173"/>
        <v>0</v>
      </c>
      <c r="V143" s="102" t="str">
        <f t="shared" ca="1" si="164"/>
        <v>완료</v>
      </c>
    </row>
    <row r="144" spans="1:22" outlineLevel="1">
      <c r="A144" s="43">
        <v>9</v>
      </c>
      <c r="B144" s="43" t="s">
        <v>1</v>
      </c>
      <c r="C144" s="46">
        <v>9.1999999999999993</v>
      </c>
      <c r="D144" s="42" t="s">
        <v>91</v>
      </c>
      <c r="E144" s="43"/>
      <c r="F144" s="44"/>
      <c r="G144" s="71"/>
      <c r="H144" s="71"/>
      <c r="I144" s="43" t="s">
        <v>81</v>
      </c>
      <c r="J144" s="43"/>
      <c r="K144" s="104">
        <f>MIN(K145:K146)</f>
        <v>45349</v>
      </c>
      <c r="L144" s="104">
        <f>MAX(L145)</f>
        <v>45350</v>
      </c>
      <c r="M144" s="105">
        <f>SUM(M145)</f>
        <v>2</v>
      </c>
      <c r="N144" s="106">
        <f>M144/$M$141</f>
        <v>0.5</v>
      </c>
      <c r="O144" s="104">
        <f>MIN(O145:O146)</f>
        <v>0</v>
      </c>
      <c r="P144" s="104">
        <f>MAX(P145:P146)</f>
        <v>0</v>
      </c>
      <c r="Q144" s="105">
        <f>SUM(Q145:Q146)</f>
        <v>1</v>
      </c>
      <c r="R144" s="107">
        <f ca="1">SUMPRODUCT(N145:N145,R145:R145)</f>
        <v>0</v>
      </c>
      <c r="S144" s="107">
        <f ca="1">N144*R144</f>
        <v>0</v>
      </c>
      <c r="T144" s="107">
        <f>AVERAGE(T145:T145)</f>
        <v>0</v>
      </c>
      <c r="U144" s="107">
        <f>N144*T144</f>
        <v>0</v>
      </c>
      <c r="V144" s="108" t="str">
        <f ca="1">IF(T144=R144,"완료",IF(T144&lt;R144,"지연","초과"))</f>
        <v>완료</v>
      </c>
    </row>
    <row r="145" spans="1:22" outlineLevel="2">
      <c r="A145" s="2">
        <v>9</v>
      </c>
      <c r="B145" s="2" t="s">
        <v>1</v>
      </c>
      <c r="C145" s="2">
        <v>9.1999999999999993</v>
      </c>
      <c r="D145" s="4" t="s">
        <v>330</v>
      </c>
      <c r="G145" s="4" t="s">
        <v>92</v>
      </c>
      <c r="I145" s="2" t="s">
        <v>81</v>
      </c>
      <c r="K145" s="98">
        <v>45349</v>
      </c>
      <c r="L145" s="98">
        <v>45350</v>
      </c>
      <c r="M145" s="97">
        <f>NETWORKDAYS.INTL(K145,L145,1,기초데이터_삭제불가!$B$3:$B$16)</f>
        <v>2</v>
      </c>
      <c r="N145" s="99">
        <f>M145/$M$141</f>
        <v>0.5</v>
      </c>
      <c r="O145" s="98"/>
      <c r="P145" s="98"/>
      <c r="Q145" s="97">
        <f>NETWORKDAYS.INTL(O145,P145,1,기초데이터_삭제불가!$B$3:$B$16)</f>
        <v>0</v>
      </c>
      <c r="R145" s="100">
        <f t="shared" ref="R145:R146" ca="1" si="176">IF($L$2&gt;=L145,1,IF($L$2&lt;K145,0,(($L$2-K145)+1)/(M145)))</f>
        <v>0</v>
      </c>
      <c r="S145" s="101">
        <f t="shared" ref="S145" ca="1" si="177">R145*N145</f>
        <v>0</v>
      </c>
      <c r="T145" s="100">
        <v>0</v>
      </c>
      <c r="U145" s="101">
        <f t="shared" ref="U145" si="178">N145*T145</f>
        <v>0</v>
      </c>
      <c r="V145" s="102" t="str">
        <f t="shared" ref="V145" ca="1" si="179">IF(T145=R145,"완료",IF(T145&lt;R145,"지연","초과"))</f>
        <v>완료</v>
      </c>
    </row>
    <row r="146" spans="1:22" outlineLevel="1">
      <c r="A146" s="66">
        <v>9</v>
      </c>
      <c r="B146" s="66" t="s">
        <v>1</v>
      </c>
      <c r="C146" s="67">
        <v>9.3000000000000007</v>
      </c>
      <c r="D146" s="68" t="s">
        <v>349</v>
      </c>
      <c r="E146" s="66"/>
      <c r="F146" s="69"/>
      <c r="G146" s="75"/>
      <c r="H146" s="75"/>
      <c r="I146" s="66"/>
      <c r="J146" s="66"/>
      <c r="K146" s="117">
        <v>45351</v>
      </c>
      <c r="L146" s="117">
        <v>45351</v>
      </c>
      <c r="M146" s="118">
        <v>1</v>
      </c>
      <c r="N146" s="119">
        <f>M146/$M$141</f>
        <v>0.25</v>
      </c>
      <c r="O146" s="117"/>
      <c r="P146" s="117"/>
      <c r="Q146" s="118">
        <v>1</v>
      </c>
      <c r="R146" s="120">
        <f t="shared" ca="1" si="176"/>
        <v>0</v>
      </c>
      <c r="S146" s="120">
        <f ca="1">N146*R146</f>
        <v>0</v>
      </c>
      <c r="T146" s="120">
        <v>0</v>
      </c>
      <c r="U146" s="120">
        <f>N146*T146</f>
        <v>0</v>
      </c>
      <c r="V146" s="118" t="str">
        <f t="shared" ref="V146" ca="1" si="180">IF(T146=R146,"완료",IF(T146&lt;R146,"지연","완료"))</f>
        <v>완료</v>
      </c>
    </row>
    <row r="147" spans="1:22">
      <c r="R147" s="31"/>
    </row>
    <row r="161" spans="13:13">
      <c r="M161" s="82"/>
    </row>
  </sheetData>
  <autoFilter ref="A6:V146">
    <filterColumn colId="1" showButton="0"/>
    <filterColumn colId="2" showButton="0"/>
  </autoFilter>
  <mergeCells count="30">
    <mergeCell ref="A4:A5"/>
    <mergeCell ref="G4:G5"/>
    <mergeCell ref="B4:B5"/>
    <mergeCell ref="C4:C5"/>
    <mergeCell ref="D4:D5"/>
    <mergeCell ref="E4:E5"/>
    <mergeCell ref="F4:F5"/>
    <mergeCell ref="V4:V5"/>
    <mergeCell ref="R4:U4"/>
    <mergeCell ref="T5:U5"/>
    <mergeCell ref="R5:S5"/>
    <mergeCell ref="B6:D6"/>
    <mergeCell ref="O4:Q4"/>
    <mergeCell ref="K4:N4"/>
    <mergeCell ref="H4:H5"/>
    <mergeCell ref="I4:I5"/>
    <mergeCell ref="J4:J5"/>
    <mergeCell ref="A2:J2"/>
    <mergeCell ref="U2:V2"/>
    <mergeCell ref="U3:V3"/>
    <mergeCell ref="O2:P2"/>
    <mergeCell ref="O3:P3"/>
    <mergeCell ref="Q3:R3"/>
    <mergeCell ref="Q2:R2"/>
    <mergeCell ref="S2:T2"/>
    <mergeCell ref="S3:T3"/>
    <mergeCell ref="L2:L3"/>
    <mergeCell ref="M2:N3"/>
    <mergeCell ref="K2:K3"/>
    <mergeCell ref="A3:J3"/>
  </mergeCells>
  <phoneticPr fontId="2" type="noConversion"/>
  <pageMargins left="0.7" right="0.7" top="0.75" bottom="0.75" header="0.3" footer="0.3"/>
  <pageSetup paperSize="9" scale="4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B11" sqref="B11"/>
    </sheetView>
  </sheetViews>
  <sheetFormatPr defaultRowHeight="17.399999999999999"/>
  <cols>
    <col min="1" max="1" width="1.69921875" customWidth="1"/>
    <col min="2" max="2" width="11.19921875" customWidth="1"/>
    <col min="3" max="3" width="5.296875" style="20" customWidth="1"/>
    <col min="4" max="4" width="10.5" customWidth="1"/>
    <col min="5" max="5" width="10" customWidth="1"/>
  </cols>
  <sheetData>
    <row r="1" spans="2:3" ht="18" thickBot="1"/>
    <row r="2" spans="2:3">
      <c r="B2" s="165" t="s">
        <v>224</v>
      </c>
      <c r="C2" s="166"/>
    </row>
    <row r="3" spans="2:3">
      <c r="B3" s="23">
        <f>DATE(2023,9,28)</f>
        <v>45197</v>
      </c>
      <c r="C3" s="24" t="s">
        <v>225</v>
      </c>
    </row>
    <row r="4" spans="2:3">
      <c r="B4" s="23">
        <f>DATE(2023,9,29)</f>
        <v>45198</v>
      </c>
      <c r="C4" s="24" t="s">
        <v>204</v>
      </c>
    </row>
    <row r="5" spans="2:3">
      <c r="B5" s="23">
        <f>DATE(2023,10,2)</f>
        <v>45201</v>
      </c>
      <c r="C5" s="24" t="s">
        <v>226</v>
      </c>
    </row>
    <row r="6" spans="2:3">
      <c r="B6" s="23">
        <f>DATE(2023,10,3)</f>
        <v>45202</v>
      </c>
      <c r="C6" s="24" t="s">
        <v>227</v>
      </c>
    </row>
    <row r="7" spans="2:3">
      <c r="B7" s="23">
        <f>DATE(2023,10,9)</f>
        <v>45208</v>
      </c>
      <c r="C7" s="24" t="s">
        <v>205</v>
      </c>
    </row>
    <row r="8" spans="2:3">
      <c r="B8" s="23">
        <f>DATE(2023,12,25)</f>
        <v>45285</v>
      </c>
      <c r="C8" s="24" t="s">
        <v>205</v>
      </c>
    </row>
    <row r="9" spans="2:3">
      <c r="B9" s="23">
        <f>DATE(2024,1,1)</f>
        <v>45292</v>
      </c>
      <c r="C9" s="24" t="s">
        <v>228</v>
      </c>
    </row>
    <row r="10" spans="2:3">
      <c r="B10" s="23">
        <f>DATE(2024,2,12)</f>
        <v>45334</v>
      </c>
      <c r="C10" s="24" t="s">
        <v>226</v>
      </c>
    </row>
    <row r="11" spans="2:3">
      <c r="B11" s="23"/>
      <c r="C11" s="24"/>
    </row>
    <row r="12" spans="2:3">
      <c r="B12" s="23"/>
      <c r="C12" s="24"/>
    </row>
    <row r="13" spans="2:3">
      <c r="B13" s="23"/>
      <c r="C13" s="24"/>
    </row>
    <row r="14" spans="2:3">
      <c r="B14" s="23"/>
      <c r="C14" s="24"/>
    </row>
    <row r="15" spans="2:3">
      <c r="B15" s="23"/>
      <c r="C15" s="24"/>
    </row>
    <row r="16" spans="2:3" ht="18" thickBot="1">
      <c r="B16" s="25"/>
      <c r="C16" s="26"/>
    </row>
    <row r="18" spans="2:22">
      <c r="B18" s="30" t="s">
        <v>108</v>
      </c>
    </row>
    <row r="19" spans="2:22">
      <c r="B19" s="28" t="s">
        <v>107</v>
      </c>
    </row>
    <row r="20" spans="2:22">
      <c r="B20" s="28" t="s">
        <v>109</v>
      </c>
    </row>
    <row r="21" spans="2:22" ht="18" thickBot="1">
      <c r="B21" s="29" t="s">
        <v>110</v>
      </c>
    </row>
    <row r="23" spans="2:22"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WBS</vt:lpstr>
      <vt:lpstr>기초데이터_삭제불가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네티브</dc:creator>
  <cp:lastModifiedBy>네티브</cp:lastModifiedBy>
  <cp:lastPrinted>2023-09-18T06:38:46Z</cp:lastPrinted>
  <dcterms:created xsi:type="dcterms:W3CDTF">2018-10-17T05:05:53Z</dcterms:created>
  <dcterms:modified xsi:type="dcterms:W3CDTF">2023-09-21T01:04:46Z</dcterms:modified>
</cp:coreProperties>
</file>