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<sst xmlns="http://schemas.openxmlformats.org/spreadsheetml/2006/main" count="384" uniqueCount="71">
  <si>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</si>
  <si>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</si>
  <si>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</si>
  <si>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</si>
  <si>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</si>
  <si>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</si>
  <si>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</si>
  <si>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</si>
  <si>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</si>
  <si>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</si>
  <si>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</si>
  <si>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</si>
  <si>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</si>
  <si>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</si>
  <si>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</si>
  <si>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</si>
  <si>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</si>
  <si>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</si>
  <si>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</si>
  <si>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</si>
  <si>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</si>
  <si>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</si>
  <si>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</si>
  <si>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</si>
  <si>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</si>
  <si>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</si>
  <si>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</si>
  <si>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</si>
  <si>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</si>
  <si>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</si>
  <si>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</si>
  <si>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</si>
  <si>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</si>
  <si>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A smart home digital twin integrated with MLOps is proposed to effectively predict energy consumption at a device level. The approach may be useful for tackling the challenges of deploying machine learning prediction models in online environments, considering the specific scenario of energy consumption forecast. Household metadata is modeled in an ontology to support facilitated integration of real-time monitoring and prediction information with new interfaces, such as personalized conversational agents and dashboards.</t>
  </si>
  <si>
    <t>DevOps</t>
  </si>
  <si>
    <t>Process</t>
  </si>
  <si>
    <t>AI/ML</t>
  </si>
  <si>
    <t>n.a.</t>
  </si>
  <si>
    <t>&lt;add your comment here if any&gt;</t>
  </si>
  <si>
    <t>N</t>
  </si>
  <si>
    <t>Y</t>
  </si>
  <si>
    <t>Journal</t>
  </si>
  <si>
    <t>MDPI</t>
  </si>
  <si>
    <t>Digital Life</t>
  </si>
  <si>
    <t xml:space="preserve">MLOps </t>
  </si>
  <si>
    <t>digital twin</t>
  </si>
  <si>
    <t>ML</t>
  </si>
  <si>
    <t>Future research directions (as stated by authors, if any)</t>
  </si>
  <si>
    <t xml:space="preserve">Reviewer </t>
  </si>
  <si>
    <t>Pasqualina Potena</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</si>
  <si>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</si>
  <si>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</si>
  <si>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</si>
  <si>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</si>
  <si>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</si>
  <si>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</si>
  <si>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</si>
  <si>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</si>
  <si>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</si>
  <si>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presents an MLOps approach to increase the accuracy of energy consumption predictions and hence have a better adaptation of energy prices based, e.g., on peak hours. DevOps is used to enact the process of monitoring and refining the AI/ML prediction models, while ontologies and digital-twins are used to manage the data retrieved from sensors.</t>
  </si>
  <si>
    <t>MDE</t>
  </si>
  <si>
    <t>Resource</t>
  </si>
  <si>
    <t>Monitoring</t>
  </si>
  <si>
    <t>Coding</t>
  </si>
  <si>
    <t>MDPI Machines 2022, 10(1), 23</t>
  </si>
  <si>
    <t>MLOps</t>
  </si>
  <si>
    <t>IoT</t>
  </si>
  <si>
    <t>machine learning</t>
  </si>
  <si>
    <t>prediction</t>
  </si>
  <si>
    <t>Antonio Cicchetti</t>
  </si>
  <si>
    <t>&lt;Please report the main contributions of the paper as stated by the authors. If not explicitly elicited, report the main research areas, if not clear from the keywords.&gt;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</si>
</sst>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color rgb="FF222222"/>
      <name val="Arial"/>
    </font>
    <font>
      <b/>
      <sz val="14.0"/>
      <color theme="1"/>
      <name val="Arial"/>
      <scheme val="minor"/>
    </font>
    <font>
      <b/>
      <sz val="12.0"/>
      <color theme="1"/>
      <name val="Arial"/>
    </font>
    <font>
      <sz val="9.0"/>
      <color rgb="FF000000"/>
      <name val="&quot;Google Sans&quot;"/>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0" fillId="3" fontId="14" numFmtId="1" xfId="0" applyAlignment="1" applyFont="1" applyNumberFormat="1">
      <alignment readingOrder="0"/>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5" numFmtId="0" xfId="0" applyFont="1"/>
    <xf borderId="0" fillId="9" fontId="15"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6"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0" fillId="3" fontId="17" numFmtId="1" xfId="0" applyAlignment="1" applyFont="1" applyNumberFormat="1">
      <alignment readingOrder="0"/>
    </xf>
    <xf borderId="0" fillId="4" fontId="1" numFmtId="0" xfId="0" applyAlignment="1" applyFont="1">
      <alignment readingOrder="0"/>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xf borderId="43" fillId="4" fontId="2" numFmtId="1" xfId="0" applyAlignment="1" applyBorder="1" applyFont="1" applyNumberFormat="1">
      <alignment readingOrder="0"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A smart home digital twin integrated with MLOps is proposed to effectively predict energy consumption at a device level. The approach may be useful for tackling the challenges of deploying machine learning prediction models in online environments, considering the specific scenario of energy consumption forecast. Household metadata is modeled in an ontology to support facilitated integration of real-time monitoring and prediction information with new interfaces, such as personalized conversational agents and dashboards.</v>
      </c>
      <c r="V2" s="10" t="str">
        <f>'2'!V2</f>
        <v>This paper presents an MLOps approach to increase the accuracy of energy consumption predictions and hence have a better adaptation of energy prices based, e.g., on peak hours. DevOps is used to enact the process of monitoring and refining the AI/ML prediction models, while ontologies and digital-twins are used to manage the data retrieved from sensors.</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DevOps</v>
      </c>
      <c r="D3" s="13" t="str">
        <f t="shared" si="1"/>
        <v>Process</v>
      </c>
      <c r="E3" s="13" t="str">
        <f t="shared" ref="E3:F3" si="2">K26</f>
        <v>AI/ML</v>
      </c>
      <c r="F3" s="13" t="str">
        <f t="shared" si="2"/>
        <v>n.a.</v>
      </c>
      <c r="G3" s="13" t="str">
        <f t="shared" ref="G3:H3" si="3">K27</f>
        <v>MDE</v>
      </c>
      <c r="H3" s="13" t="str">
        <f t="shared" si="3"/>
        <v>Resource</v>
      </c>
      <c r="I3" s="13" t="str">
        <f t="shared" ref="I3:J3" si="4">K28</f>
        <v>DevOps</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Y</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n.a.</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n.a.</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n.a.</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t="str">
        <f>IF('1'!D10='2'!D10, '1'!D10, IF(OnlyForConflictsResolution!D10="Y", IF(OR('1'!D10="Y", '2'!D10="Y"), "Y", "N"), IF(OR('1'!D10="N", '2'!D10="N"), "N", "Y")))
</f>
        <v>Y</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OnlyForConflictsResolution!V10</f>
        <v>&lt;add your comment here if any&gt;</v>
      </c>
      <c r="X10" s="11">
        <f t="shared" si="11"/>
        <v>2</v>
      </c>
      <c r="Y10" s="11">
        <f>IFERROR(__xludf.DUMMYFUNCTION("IMPORTRANGE($C$22,""!$X$10"")"),0.0)</f>
        <v>0</v>
      </c>
      <c r="Z10" s="11">
        <f t="shared" si="10"/>
        <v>0</v>
      </c>
    </row>
    <row r="11">
      <c r="A11" s="21">
        <v>9.0</v>
      </c>
      <c r="B11" s="21" t="s">
        <v>16</v>
      </c>
      <c r="C11" s="23" t="str">
        <f>IF('1'!D11='2'!D11, '1'!D11, IF(OnlyForConflictsResolution!D11="Y", IF(OR('1'!D11="Y", '2'!D11="Y"), "Y", "N"), IF(OR('1'!D11="N", '2'!D11="N"), "N", "Y")))
</f>
        <v>n.a.</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OnlyForConflictsResolution!V11</f>
        <v>&lt;add your comment here if any&gt;</v>
      </c>
      <c r="X11" s="15">
        <f t="shared" si="11"/>
        <v>2</v>
      </c>
      <c r="Y11" s="15">
        <f>IFERROR(__xludf.DUMMYFUNCTION("IMPORTRANGE($C$22,""!$X$11"")"),0.0)</f>
        <v>0</v>
      </c>
      <c r="Z11" s="15">
        <f t="shared" si="10"/>
        <v>0</v>
      </c>
    </row>
    <row r="12">
      <c r="A12" s="16">
        <v>10.0</v>
      </c>
      <c r="B12" s="16" t="s">
        <v>17</v>
      </c>
      <c r="C12" s="26" t="str">
        <f>K37</f>
        <v>Monitoring</v>
      </c>
      <c r="D12" s="26" t="str">
        <f>K38</f>
        <v>Coding</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Journal</v>
      </c>
      <c r="D13" s="27" t="str">
        <f t="shared" si="13"/>
        <v>MDPI</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N</v>
      </c>
      <c r="D15" s="13">
        <f t="shared" ref="D15:D16" si="15">IF(OR(EXACT(C4,"Y")),1,0)</f>
        <v>1</v>
      </c>
      <c r="E15" s="13">
        <f>IF(OR(EXACT(C6,"Y")),1,0)</f>
        <v>0</v>
      </c>
      <c r="F15" s="13">
        <f t="shared" si="14"/>
        <v>1</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5"/>
        <v>1</v>
      </c>
      <c r="E16" s="26">
        <f>IF(OR(EXACT(C8,"Y")),1,0)</f>
        <v>0</v>
      </c>
      <c r="F16" s="26">
        <f t="shared" si="14"/>
        <v>1</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1</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Digital Life</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MLOps </v>
      </c>
      <c r="D19" s="31" t="str">
        <f>K58</f>
        <v>digital twin</v>
      </c>
      <c r="E19" s="31" t="str">
        <f>K59</f>
        <v>ML</v>
      </c>
      <c r="F19" s="31" t="str">
        <f>K60</f>
        <v>MLOps</v>
      </c>
      <c r="G19" s="31" t="str">
        <f>K61</f>
        <v>machine learning</v>
      </c>
      <c r="H19" s="32" t="str">
        <f>K62</f>
        <v>prediction</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N</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34</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DevOps</v>
      </c>
      <c r="D25" s="58" t="str">
        <f>'1'!E$3</f>
        <v>Process</v>
      </c>
      <c r="E25" s="59" t="str">
        <f t="shared" ref="E25:E36" si="18">CONCATENATE(C25," ",D25)</f>
        <v>DevOps Process</v>
      </c>
      <c r="F25" s="59"/>
      <c r="G25" s="59" t="str">
        <f>IFERROR(__xludf.DUMMYFUNCTION("IFNA(UNIQUE(FILTER(E25:E36, E25:E36&lt;&gt;""n.a. n.a."")),""n.a."")"),"DevOps Process")</f>
        <v>DevOps Process</v>
      </c>
      <c r="H25" s="59"/>
      <c r="I25" s="59" t="str">
        <f>IFERROR(__xludf.DUMMYFUNCTION("IFERROR(SPLIT($G25,"" ""),"""")"),"DevOps")</f>
        <v>DevOps</v>
      </c>
      <c r="J25" s="59" t="str">
        <f>IFERROR(__xludf.DUMMYFUNCTION("""COMPUTED_VALUE"""),"Process")</f>
        <v>Process</v>
      </c>
      <c r="K25" s="60" t="str">
        <f t="shared" ref="K25:L25" si="17">IF(NOT(I25=""),I25,"n.a.")</f>
        <v>DevOps</v>
      </c>
      <c r="L25" s="60" t="str">
        <f t="shared" si="17"/>
        <v>Process</v>
      </c>
      <c r="M25" s="61">
        <v>1.0</v>
      </c>
      <c r="N25" s="62"/>
      <c r="O25" s="62"/>
      <c r="P25" s="62"/>
      <c r="Q25" s="62"/>
      <c r="R25" s="62"/>
      <c r="S25" s="62"/>
      <c r="T25" s="62"/>
      <c r="U25" s="63"/>
      <c r="V25" s="63"/>
      <c r="W25" s="63"/>
      <c r="X25" s="47"/>
      <c r="Y25" s="47"/>
      <c r="Z25" s="47"/>
    </row>
    <row r="26">
      <c r="A26" s="64"/>
      <c r="B26" s="16">
        <v>2.0</v>
      </c>
      <c r="C26" s="58" t="str">
        <f>'1'!F$3</f>
        <v>AI/ML</v>
      </c>
      <c r="D26" s="58" t="str">
        <f>'1'!G$3</f>
        <v>n.a.</v>
      </c>
      <c r="E26" s="65" t="str">
        <f t="shared" si="18"/>
        <v>AI/ML n.a.</v>
      </c>
      <c r="F26" s="65"/>
      <c r="G26" s="65" t="str">
        <f>IFERROR(__xludf.DUMMYFUNCTION("""COMPUTED_VALUE"""),"AI/ML n.a.")</f>
        <v>AI/ML n.a.</v>
      </c>
      <c r="H26" s="65"/>
      <c r="I26" s="65" t="str">
        <f>IFERROR(__xludf.DUMMYFUNCTION("IFERROR(SPLIT($G26,"" ""),"""")"),"AI/ML")</f>
        <v>AI/ML</v>
      </c>
      <c r="J26" s="65" t="str">
        <f>IFERROR(__xludf.DUMMYFUNCTION("""COMPUTED_VALUE"""),"n.a.")</f>
        <v>n.a.</v>
      </c>
      <c r="K26" s="66" t="str">
        <f t="shared" ref="K26:L26" si="19">IF(NOT(I26=""),I26,"n.a.")</f>
        <v>AI/ML</v>
      </c>
      <c r="L26" s="66" t="str">
        <f t="shared" si="19"/>
        <v>n.a.</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t="str">
        <f>IFERROR(__xludf.DUMMYFUNCTION("""COMPUTED_VALUE"""),"MDE Resource")</f>
        <v>MDE Resource</v>
      </c>
      <c r="H27" s="59"/>
      <c r="I27" s="59" t="str">
        <f>IFERROR(__xludf.DUMMYFUNCTION("IFERROR(SPLIT($G27,"" ""),"""")"),"MDE")</f>
        <v>MDE</v>
      </c>
      <c r="J27" s="59" t="str">
        <f>IFERROR(__xludf.DUMMYFUNCTION("""COMPUTED_VALUE"""),"Resource")</f>
        <v>Resource</v>
      </c>
      <c r="K27" s="60" t="str">
        <f t="shared" ref="K27:L27" si="20">IF(NOT(I27=""),I27,"n.a.")</f>
        <v>MDE</v>
      </c>
      <c r="L27" s="60" t="str">
        <f t="shared" si="20"/>
        <v>Resource</v>
      </c>
      <c r="M27" s="61">
        <v>3.0</v>
      </c>
      <c r="N27" s="62"/>
      <c r="O27" s="62"/>
      <c r="P27" s="62"/>
      <c r="Q27" s="62"/>
      <c r="R27" s="62"/>
      <c r="S27" s="62"/>
      <c r="T27" s="62"/>
      <c r="U27" s="63"/>
      <c r="V27" s="63"/>
      <c r="W27" s="63"/>
      <c r="X27" s="47"/>
      <c r="Y27" s="47"/>
      <c r="Z27" s="47"/>
    </row>
    <row r="28">
      <c r="A28" s="64"/>
      <c r="B28" s="16">
        <v>1.0</v>
      </c>
      <c r="C28" s="68" t="str">
        <f>'2'!D$3</f>
        <v>DevOps</v>
      </c>
      <c r="D28" s="68" t="str">
        <f>'2'!E$3</f>
        <v>Process</v>
      </c>
      <c r="E28" s="65" t="str">
        <f t="shared" si="18"/>
        <v>DevOps Process</v>
      </c>
      <c r="F28" s="65"/>
      <c r="G28" s="65" t="str">
        <f>IFERROR(__xludf.DUMMYFUNCTION("""COMPUTED_VALUE"""),"DevOps n.a.")</f>
        <v>DevOps n.a.</v>
      </c>
      <c r="H28" s="65"/>
      <c r="I28" s="65" t="str">
        <f>IFERROR(__xludf.DUMMYFUNCTION("IFERROR(SPLIT($G28,"" ""),"""")"),"DevOps")</f>
        <v>DevOps</v>
      </c>
      <c r="J28" s="65" t="str">
        <f>IFERROR(__xludf.DUMMYFUNCTION("""COMPUTED_VALUE"""),"n.a.")</f>
        <v>n.a.</v>
      </c>
      <c r="K28" s="66" t="str">
        <f t="shared" ref="K28:L28" si="21">IF(NOT(I28=""),I28,"n.a.")</f>
        <v>DevOps</v>
      </c>
      <c r="L28" s="66" t="str">
        <f t="shared" si="21"/>
        <v>n.a.</v>
      </c>
      <c r="M28" s="67">
        <v>4.0</v>
      </c>
      <c r="N28" s="55"/>
      <c r="O28" s="55"/>
      <c r="P28" s="55"/>
      <c r="Q28" s="55"/>
      <c r="R28" s="55"/>
      <c r="S28" s="55"/>
      <c r="T28" s="55"/>
      <c r="U28" s="56"/>
      <c r="V28" s="56"/>
      <c r="W28" s="56"/>
      <c r="X28" s="45"/>
      <c r="Y28" s="45"/>
      <c r="Z28" s="45"/>
    </row>
    <row r="29">
      <c r="A29" s="57"/>
      <c r="B29" s="21">
        <v>2.0</v>
      </c>
      <c r="C29" s="68" t="str">
        <f>'2'!F$3</f>
        <v>AI/ML</v>
      </c>
      <c r="D29" s="68" t="str">
        <f>'2'!G$3</f>
        <v>n.a.</v>
      </c>
      <c r="E29" s="59" t="str">
        <f t="shared" si="18"/>
        <v>AI/ML n.a.</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MDE</v>
      </c>
      <c r="D30" s="68" t="str">
        <f>'2'!I$3</f>
        <v>Resource</v>
      </c>
      <c r="E30" s="65" t="str">
        <f t="shared" si="18"/>
        <v>MDE Resource</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AI/ML</v>
      </c>
      <c r="D31" s="68" t="str">
        <f>'2'!K$3</f>
        <v>n.a.</v>
      </c>
      <c r="E31" s="59" t="str">
        <f t="shared" si="18"/>
        <v>AI/ML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MDE</v>
      </c>
      <c r="D32" s="68" t="str">
        <f>'2'!M$3</f>
        <v>Resource</v>
      </c>
      <c r="E32" s="65" t="str">
        <f t="shared" si="18"/>
        <v>MDE Resource</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DevOps</v>
      </c>
      <c r="D33" s="68" t="str">
        <f>'2'!O$3</f>
        <v>n.a.</v>
      </c>
      <c r="E33" s="59" t="str">
        <f t="shared" si="18"/>
        <v>DevOps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C37:C46&lt;&gt;""n.a."")),""n.a."")"),"Monitoring")</f>
        <v>Monitoring</v>
      </c>
      <c r="H37" s="82"/>
      <c r="I37" s="83" t="str">
        <f t="shared" ref="I37:I66" si="27">G37</f>
        <v>Monitoring</v>
      </c>
      <c r="J37" s="82"/>
      <c r="K37" s="84" t="str">
        <f t="shared" ref="K37:K68" si="28">IF(NOT(I37=""),I37,"n.a.")</f>
        <v>Monitoring</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t="str">
        <f>IFERROR(__xludf.DUMMYFUNCTION("""COMPUTED_VALUE"""),"Coding")</f>
        <v>Coding</v>
      </c>
      <c r="H38" s="88"/>
      <c r="I38" s="65" t="str">
        <f t="shared" si="27"/>
        <v>Coding</v>
      </c>
      <c r="J38" s="88"/>
      <c r="K38" s="66" t="str">
        <f t="shared" si="28"/>
        <v>Coding</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Monitoring</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Coding</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Digital Life</v>
      </c>
      <c r="D47" s="82"/>
      <c r="E47" s="82"/>
      <c r="F47" s="82"/>
      <c r="G47" s="82" t="str">
        <f>IFERROR(__xludf.DUMMYFUNCTION("IFNA(UNIQUE(FILTER(C47:C56, C47:C56&lt;&gt;""n.a."")),""n.a."")"),"Digital Life")</f>
        <v>Digital Life</v>
      </c>
      <c r="H47" s="82"/>
      <c r="I47" s="83" t="str">
        <f t="shared" si="27"/>
        <v>Digital Life</v>
      </c>
      <c r="J47" s="82"/>
      <c r="K47" s="84" t="str">
        <f t="shared" si="28"/>
        <v>Digital Life</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Digital Life</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MLOps </v>
      </c>
      <c r="D57" s="97"/>
      <c r="E57" s="97"/>
      <c r="F57" s="97"/>
      <c r="G57" s="82" t="str">
        <f>IFERROR(__xludf.DUMMYFUNCTION("IFNA(UNIQUE(FILTER(C57:C66, C57:C66&lt;&gt;""n.a."")),""n.a."")"),"MLOps ")</f>
        <v>MLOps </v>
      </c>
      <c r="H57" s="97"/>
      <c r="I57" s="83" t="str">
        <f t="shared" si="27"/>
        <v>MLOps </v>
      </c>
      <c r="J57" s="97"/>
      <c r="K57" s="84" t="str">
        <f t="shared" si="28"/>
        <v>MLOps </v>
      </c>
      <c r="L57" s="98"/>
      <c r="M57" s="86">
        <v>1.0</v>
      </c>
      <c r="N57" s="62"/>
      <c r="O57" s="62"/>
      <c r="P57" s="62"/>
      <c r="Q57" s="62"/>
      <c r="R57" s="62"/>
      <c r="S57" s="62"/>
      <c r="T57" s="62"/>
      <c r="U57" s="63"/>
      <c r="V57" s="63"/>
      <c r="W57" s="63"/>
      <c r="X57" s="47"/>
      <c r="Y57" s="47"/>
      <c r="Z57" s="47"/>
    </row>
    <row r="58">
      <c r="A58" s="64"/>
      <c r="B58" s="16"/>
      <c r="C58" s="87" t="str">
        <f>IF(ISBLANK('1'!E19),"n.a.",'1'!E19)</f>
        <v>digital twin</v>
      </c>
      <c r="D58" s="88"/>
      <c r="E58" s="88"/>
      <c r="F58" s="88"/>
      <c r="G58" s="88" t="str">
        <f>IFERROR(__xludf.DUMMYFUNCTION("""COMPUTED_VALUE"""),"digital twin")</f>
        <v>digital twin</v>
      </c>
      <c r="H58" s="88"/>
      <c r="I58" s="65" t="str">
        <f t="shared" si="27"/>
        <v>digital twin</v>
      </c>
      <c r="J58" s="88"/>
      <c r="K58" s="66" t="str">
        <f t="shared" si="28"/>
        <v>digital twin</v>
      </c>
      <c r="L58" s="89"/>
      <c r="M58" s="67">
        <v>2.0</v>
      </c>
      <c r="N58" s="55"/>
      <c r="O58" s="55"/>
      <c r="P58" s="55"/>
      <c r="Q58" s="55"/>
      <c r="R58" s="55"/>
      <c r="S58" s="55"/>
      <c r="T58" s="55"/>
      <c r="U58" s="56"/>
      <c r="V58" s="56"/>
      <c r="W58" s="56"/>
      <c r="X58" s="45"/>
      <c r="Y58" s="45"/>
      <c r="Z58" s="45"/>
    </row>
    <row r="59">
      <c r="A59" s="57"/>
      <c r="B59" s="21"/>
      <c r="C59" s="87" t="str">
        <f>IF(ISBLANK('1'!F19),"n.a.",'1'!F19)</f>
        <v>ML</v>
      </c>
      <c r="D59" s="90"/>
      <c r="E59" s="90"/>
      <c r="F59" s="90"/>
      <c r="G59" s="90" t="str">
        <f>IFERROR(__xludf.DUMMYFUNCTION("""COMPUTED_VALUE"""),"ML")</f>
        <v>ML</v>
      </c>
      <c r="H59" s="90"/>
      <c r="I59" s="59" t="str">
        <f t="shared" si="27"/>
        <v>ML</v>
      </c>
      <c r="J59" s="90"/>
      <c r="K59" s="60" t="str">
        <f t="shared" si="28"/>
        <v>ML</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t="str">
        <f>IFERROR(__xludf.DUMMYFUNCTION("""COMPUTED_VALUE"""),"MLOps")</f>
        <v>MLOps</v>
      </c>
      <c r="H60" s="88"/>
      <c r="I60" s="65" t="str">
        <f t="shared" si="27"/>
        <v>MLOps</v>
      </c>
      <c r="J60" s="88"/>
      <c r="K60" s="66" t="str">
        <f t="shared" si="28"/>
        <v>MLOps</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t="str">
        <f>IFERROR(__xludf.DUMMYFUNCTION("""COMPUTED_VALUE"""),"machine learning")</f>
        <v>machine learning</v>
      </c>
      <c r="H61" s="90"/>
      <c r="I61" s="59" t="str">
        <f t="shared" si="27"/>
        <v>machine learning</v>
      </c>
      <c r="J61" s="90"/>
      <c r="K61" s="60" t="str">
        <f t="shared" si="28"/>
        <v>machine learning</v>
      </c>
      <c r="L61" s="91"/>
      <c r="M61" s="61">
        <v>5.0</v>
      </c>
      <c r="N61" s="62"/>
      <c r="O61" s="62"/>
      <c r="P61" s="62"/>
      <c r="Q61" s="62"/>
      <c r="R61" s="62"/>
      <c r="S61" s="62"/>
      <c r="T61" s="62"/>
      <c r="U61" s="63"/>
      <c r="V61" s="63"/>
      <c r="W61" s="63"/>
      <c r="X61" s="47"/>
      <c r="Y61" s="47"/>
      <c r="Z61" s="47"/>
    </row>
    <row r="62">
      <c r="A62" s="64"/>
      <c r="B62" s="16"/>
      <c r="C62" s="92" t="str">
        <f>IF(ISBLANK('2'!D19),"n.a.",'2'!D19)</f>
        <v>MLOps</v>
      </c>
      <c r="D62" s="88"/>
      <c r="E62" s="88"/>
      <c r="F62" s="88"/>
      <c r="G62" s="88" t="str">
        <f>IFERROR(__xludf.DUMMYFUNCTION("""COMPUTED_VALUE"""),"prediction")</f>
        <v>prediction</v>
      </c>
      <c r="H62" s="88"/>
      <c r="I62" s="65" t="str">
        <f t="shared" si="27"/>
        <v>prediction</v>
      </c>
      <c r="J62" s="88"/>
      <c r="K62" s="66" t="str">
        <f t="shared" si="28"/>
        <v>prediction</v>
      </c>
      <c r="L62" s="89"/>
      <c r="M62" s="67">
        <v>6.0</v>
      </c>
      <c r="N62" s="55"/>
      <c r="O62" s="55"/>
      <c r="P62" s="55"/>
      <c r="Q62" s="55"/>
      <c r="R62" s="55"/>
      <c r="S62" s="55"/>
      <c r="T62" s="55"/>
      <c r="U62" s="56"/>
      <c r="V62" s="56"/>
      <c r="W62" s="56"/>
      <c r="X62" s="45"/>
      <c r="Y62" s="45"/>
      <c r="Z62" s="45"/>
    </row>
    <row r="63">
      <c r="A63" s="57"/>
      <c r="B63" s="21"/>
      <c r="C63" s="92" t="str">
        <f>IF(ISBLANK('2'!E19),"n.a.",'2'!E19)</f>
        <v>digital twin</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IF(ISBLANK('2'!G19),"n.a.",'2'!G19)</f>
        <v>machine learning</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IF(ISBLANK('2'!H19),"n.a.",'2'!H19)</f>
        <v>prediction</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IF(ISBLANK(#REF!),"n.a.",#REF!)</f>
        <v>#REF!</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Journal</v>
      </c>
      <c r="D67" s="13" t="str">
        <f>'1'!E13</f>
        <v>MDPI</v>
      </c>
      <c r="E67" s="59" t="str">
        <f t="shared" ref="E67:E68" si="29">CONCATENATE(C67,"---",D67)</f>
        <v>Journal---MDPI</v>
      </c>
      <c r="F67" s="59"/>
      <c r="G67" s="59" t="str">
        <f>IFERROR(__xludf.DUMMYFUNCTION("IFNA(UNIQUE(FILTER(E67:E68, E67:E68&lt;&gt;""n.a"")),""n.a."")"),"Journal---MDPI")</f>
        <v>Journal---MDPI</v>
      </c>
      <c r="H67" s="59"/>
      <c r="I67" s="59" t="str">
        <f>IFERROR(__xludf.DUMMYFUNCTION("IFERROR(SPLIT($G67,""---""),"""")"),"Journal")</f>
        <v>Journal</v>
      </c>
      <c r="J67" s="59" t="str">
        <f>IFERROR(__xludf.DUMMYFUNCTION("""COMPUTED_VALUE"""),"MDPI")</f>
        <v>MDPI</v>
      </c>
      <c r="K67" s="60" t="str">
        <f t="shared" si="28"/>
        <v>Journal</v>
      </c>
      <c r="L67" s="60" t="str">
        <f>IF(NOT(J67=""),J67,"n.a.")</f>
        <v>MDPI</v>
      </c>
      <c r="M67" s="61">
        <v>1.0</v>
      </c>
      <c r="N67" s="62"/>
      <c r="O67" s="62"/>
      <c r="P67" s="62"/>
      <c r="Q67" s="62"/>
      <c r="R67" s="62"/>
      <c r="S67" s="62"/>
      <c r="T67" s="62"/>
      <c r="U67" s="63"/>
      <c r="V67" s="63"/>
      <c r="W67" s="63"/>
      <c r="X67" s="47"/>
      <c r="Y67" s="47"/>
      <c r="Z67" s="47"/>
    </row>
    <row r="68">
      <c r="A68" s="71"/>
      <c r="B68" s="16">
        <v>2.0</v>
      </c>
      <c r="C68" s="26" t="str">
        <f>'2'!D13</f>
        <v>Journal</v>
      </c>
      <c r="D68" s="26" t="str">
        <f>'2'!E13</f>
        <v>MDPI Machines 2022, 10(1), 23</v>
      </c>
      <c r="E68" s="65" t="str">
        <f t="shared" si="29"/>
        <v>Journal---MDPI Machines 2022, 10(1), 23</v>
      </c>
      <c r="F68" s="65"/>
      <c r="G68" s="65" t="str">
        <f>IFERROR(__xludf.DUMMYFUNCTION("""COMPUTED_VALUE"""),"Journal---MDPI Machines 2022, 10(1), 23")</f>
        <v>Journal---MDPI Machines 2022, 10(1), 23</v>
      </c>
      <c r="H68" s="65"/>
      <c r="I68" s="65" t="str">
        <f>IFERROR(__xludf.DUMMYFUNCTION("IFERROR(SPLIT($G68,""---""),"""")"),"Journal")</f>
        <v>Journal</v>
      </c>
      <c r="J68" s="65" t="str">
        <f>IFERROR(__xludf.DUMMYFUNCTION("""COMPUTED_VALUE"""),"MDPI Machines 2022, 10(1), 23")</f>
        <v>MDPI Machines 2022, 10(1), 23</v>
      </c>
      <c r="K68" s="66" t="str">
        <f t="shared" si="28"/>
        <v>Journal</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c r="W3" s="113"/>
    </row>
    <row r="4">
      <c r="A4" s="104">
        <v>1.0</v>
      </c>
      <c r="B4" s="114">
        <v>2.0</v>
      </c>
      <c r="C4" s="115" t="s">
        <v>9</v>
      </c>
      <c r="D4" s="116" t="s">
        <v>37</v>
      </c>
      <c r="E4" s="117"/>
      <c r="F4" s="117"/>
      <c r="G4" s="117"/>
      <c r="H4" s="117"/>
      <c r="I4" s="117"/>
      <c r="J4" s="118"/>
      <c r="K4" s="119"/>
      <c r="L4" s="119"/>
      <c r="M4" s="119"/>
      <c r="N4" s="119"/>
      <c r="O4" s="119"/>
      <c r="P4" s="119"/>
      <c r="Q4" s="119"/>
      <c r="R4" s="119"/>
      <c r="S4" s="119"/>
      <c r="T4" s="119"/>
      <c r="U4" s="119"/>
      <c r="V4" s="120" t="s">
        <v>38</v>
      </c>
      <c r="W4" s="121"/>
    </row>
    <row r="5">
      <c r="A5" s="122">
        <v>1.0</v>
      </c>
      <c r="B5" s="123">
        <v>3.0</v>
      </c>
      <c r="C5" s="124" t="s">
        <v>10</v>
      </c>
      <c r="D5" s="125" t="s">
        <v>37</v>
      </c>
      <c r="E5" s="126"/>
      <c r="F5" s="126"/>
      <c r="G5" s="126"/>
      <c r="H5" s="126"/>
      <c r="I5" s="126"/>
      <c r="J5" s="118"/>
      <c r="K5" s="119"/>
      <c r="L5" s="119"/>
      <c r="M5" s="119"/>
      <c r="N5" s="119"/>
      <c r="O5" s="119"/>
      <c r="P5" s="119"/>
      <c r="Q5" s="119"/>
      <c r="R5" s="119"/>
      <c r="S5" s="119"/>
      <c r="T5" s="119"/>
      <c r="U5" s="119"/>
      <c r="V5" s="127" t="s">
        <v>38</v>
      </c>
      <c r="W5" s="128"/>
    </row>
    <row r="6">
      <c r="A6" s="104">
        <v>1.0</v>
      </c>
      <c r="B6" s="114">
        <v>4.0</v>
      </c>
      <c r="C6" s="115" t="s">
        <v>11</v>
      </c>
      <c r="D6" s="116" t="s">
        <v>37</v>
      </c>
      <c r="E6" s="126"/>
      <c r="F6" s="126"/>
      <c r="G6" s="126"/>
      <c r="H6" s="126"/>
      <c r="I6" s="126"/>
      <c r="J6" s="118"/>
      <c r="K6" s="119"/>
      <c r="L6" s="119"/>
      <c r="M6" s="119"/>
      <c r="N6" s="119"/>
      <c r="O6" s="119"/>
      <c r="P6" s="119"/>
      <c r="Q6" s="119"/>
      <c r="R6" s="119"/>
      <c r="S6" s="119"/>
      <c r="T6" s="119"/>
      <c r="U6" s="119"/>
      <c r="V6" s="129" t="s">
        <v>38</v>
      </c>
      <c r="W6" s="121"/>
    </row>
    <row r="7">
      <c r="A7" s="122">
        <v>1.0</v>
      </c>
      <c r="B7" s="130">
        <v>5.0</v>
      </c>
      <c r="C7" s="131" t="s">
        <v>12</v>
      </c>
      <c r="D7" s="132" t="s">
        <v>39</v>
      </c>
      <c r="E7" s="132" t="s">
        <v>40</v>
      </c>
      <c r="F7" s="133"/>
      <c r="G7" s="133"/>
      <c r="H7" s="133"/>
      <c r="I7" s="133"/>
      <c r="J7" s="118"/>
      <c r="K7" s="119"/>
      <c r="L7" s="119"/>
      <c r="M7" s="119"/>
      <c r="N7" s="119"/>
      <c r="O7" s="119"/>
      <c r="P7" s="119"/>
      <c r="Q7" s="119"/>
      <c r="R7" s="119"/>
      <c r="S7" s="119"/>
      <c r="T7" s="119"/>
      <c r="U7" s="119"/>
      <c r="V7" s="127" t="s">
        <v>38</v>
      </c>
      <c r="W7" s="128"/>
    </row>
    <row r="8">
      <c r="A8" s="104">
        <v>1.0</v>
      </c>
      <c r="B8" s="134">
        <v>6.0</v>
      </c>
      <c r="C8" s="135" t="s">
        <v>13</v>
      </c>
      <c r="D8" s="136" t="s">
        <v>37</v>
      </c>
      <c r="E8" s="133"/>
      <c r="F8" s="133"/>
      <c r="G8" s="133"/>
      <c r="H8" s="133"/>
      <c r="I8" s="133"/>
      <c r="J8" s="118"/>
      <c r="K8" s="119"/>
      <c r="L8" s="119"/>
      <c r="M8" s="119"/>
      <c r="N8" s="119"/>
      <c r="O8" s="119"/>
      <c r="P8" s="119"/>
      <c r="Q8" s="119"/>
      <c r="R8" s="119"/>
      <c r="S8" s="119"/>
      <c r="T8" s="119"/>
      <c r="U8" s="119"/>
      <c r="V8" s="129" t="s">
        <v>38</v>
      </c>
      <c r="W8" s="121"/>
    </row>
    <row r="9">
      <c r="A9" s="122">
        <v>1.0</v>
      </c>
      <c r="B9" s="130">
        <v>7.0</v>
      </c>
      <c r="C9" s="131" t="s">
        <v>14</v>
      </c>
      <c r="D9" s="132" t="s">
        <v>37</v>
      </c>
      <c r="E9" s="133"/>
      <c r="F9" s="133"/>
      <c r="G9" s="133"/>
      <c r="H9" s="133"/>
      <c r="I9" s="133"/>
      <c r="J9" s="118"/>
      <c r="K9" s="119"/>
      <c r="L9" s="119"/>
      <c r="M9" s="119"/>
      <c r="N9" s="119"/>
      <c r="O9" s="119"/>
      <c r="P9" s="119"/>
      <c r="Q9" s="119"/>
      <c r="R9" s="119"/>
      <c r="S9" s="119"/>
      <c r="T9" s="119"/>
      <c r="U9" s="119"/>
      <c r="V9" s="127" t="s">
        <v>38</v>
      </c>
      <c r="W9" s="128"/>
    </row>
    <row r="10">
      <c r="A10" s="104">
        <v>2.0</v>
      </c>
      <c r="B10" s="134">
        <v>8.0</v>
      </c>
      <c r="C10" s="134" t="s">
        <v>15</v>
      </c>
      <c r="D10" s="136" t="s">
        <v>37</v>
      </c>
      <c r="E10" s="137"/>
      <c r="F10" s="137"/>
      <c r="G10" s="137"/>
      <c r="H10" s="137"/>
      <c r="I10" s="137"/>
      <c r="J10" s="118"/>
      <c r="K10" s="138"/>
      <c r="L10" s="138"/>
      <c r="M10" s="138"/>
      <c r="N10" s="138"/>
      <c r="O10" s="138"/>
      <c r="P10" s="138"/>
      <c r="Q10" s="138"/>
      <c r="R10" s="138"/>
      <c r="S10" s="138"/>
      <c r="T10" s="138"/>
      <c r="U10" s="138"/>
      <c r="V10" s="129" t="s">
        <v>38</v>
      </c>
      <c r="W10" s="139"/>
    </row>
    <row r="11">
      <c r="A11" s="122">
        <v>2.0</v>
      </c>
      <c r="B11" s="130">
        <v>9.0</v>
      </c>
      <c r="C11" s="140" t="s">
        <v>16</v>
      </c>
      <c r="D11" s="141" t="s">
        <v>37</v>
      </c>
      <c r="E11" s="137"/>
      <c r="F11" s="137"/>
      <c r="G11" s="137"/>
      <c r="H11" s="137"/>
      <c r="I11" s="137"/>
      <c r="J11" s="118"/>
      <c r="K11" s="138"/>
      <c r="L11" s="138"/>
      <c r="M11" s="138"/>
      <c r="N11" s="138"/>
      <c r="O11" s="138"/>
      <c r="P11" s="138"/>
      <c r="Q11" s="138"/>
      <c r="R11" s="138"/>
      <c r="S11" s="138"/>
      <c r="T11" s="138"/>
      <c r="U11" s="138"/>
      <c r="V11" s="127" t="s">
        <v>38</v>
      </c>
      <c r="W11" s="142"/>
    </row>
    <row r="12">
      <c r="A12" s="104" t="s">
        <v>32</v>
      </c>
      <c r="B12" s="134">
        <v>10.0</v>
      </c>
      <c r="C12" s="134" t="s">
        <v>17</v>
      </c>
      <c r="D12" s="136" t="s">
        <v>37</v>
      </c>
      <c r="E12" s="136" t="s">
        <v>37</v>
      </c>
      <c r="F12" s="136" t="s">
        <v>37</v>
      </c>
      <c r="G12" s="136" t="s">
        <v>37</v>
      </c>
      <c r="H12" s="136" t="s">
        <v>37</v>
      </c>
      <c r="I12" s="137"/>
      <c r="J12" s="118"/>
      <c r="K12" s="119"/>
      <c r="L12" s="119"/>
      <c r="M12" s="119"/>
      <c r="N12" s="119"/>
      <c r="O12" s="119"/>
      <c r="P12" s="119"/>
      <c r="Q12" s="119"/>
      <c r="R12" s="119"/>
      <c r="S12" s="119"/>
      <c r="T12" s="119"/>
      <c r="U12" s="119"/>
      <c r="V12" s="129" t="s">
        <v>38</v>
      </c>
      <c r="W12" s="121"/>
    </row>
    <row r="13">
      <c r="A13" s="122">
        <v>3.0</v>
      </c>
      <c r="B13" s="130">
        <v>11.0</v>
      </c>
      <c r="C13" s="130" t="s">
        <v>18</v>
      </c>
      <c r="D13" s="132" t="s">
        <v>41</v>
      </c>
      <c r="E13" s="143" t="s">
        <v>42</v>
      </c>
      <c r="F13" s="144"/>
      <c r="G13" s="144"/>
      <c r="H13" s="137"/>
      <c r="I13" s="137"/>
      <c r="J13" s="118"/>
      <c r="K13" s="119"/>
      <c r="L13" s="119"/>
      <c r="M13" s="119"/>
      <c r="N13" s="119"/>
      <c r="O13" s="119"/>
      <c r="P13" s="119"/>
      <c r="Q13" s="119"/>
      <c r="R13" s="119"/>
      <c r="S13" s="119"/>
      <c r="T13" s="119"/>
      <c r="U13" s="119"/>
      <c r="V13" s="127" t="s">
        <v>38</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38</v>
      </c>
      <c r="W14" s="121"/>
    </row>
    <row r="15">
      <c r="A15" s="122">
        <v>1.0</v>
      </c>
      <c r="B15" s="130">
        <v>13.0</v>
      </c>
      <c r="C15" s="130" t="s">
        <v>20</v>
      </c>
      <c r="D15" s="145" t="str">
        <f t="shared" si="1"/>
        <v>N</v>
      </c>
      <c r="E15" s="148">
        <f t="shared" ref="E15:E16" si="3">IF(OR(EXACT(D4,"Y")),1,0)</f>
        <v>0</v>
      </c>
      <c r="F15" s="148">
        <f>IF(OR(EXACT(D6,"Y")),1,0)</f>
        <v>0</v>
      </c>
      <c r="G15" s="148">
        <f t="shared" si="2"/>
        <v>0</v>
      </c>
      <c r="H15" s="147"/>
      <c r="I15" s="137"/>
      <c r="J15" s="118"/>
      <c r="K15" s="119"/>
      <c r="L15" s="119"/>
      <c r="M15" s="119"/>
      <c r="N15" s="119"/>
      <c r="O15" s="119"/>
      <c r="P15" s="119"/>
      <c r="Q15" s="119"/>
      <c r="R15" s="119"/>
      <c r="S15" s="119"/>
      <c r="T15" s="119"/>
      <c r="U15" s="119"/>
      <c r="V15" s="127" t="s">
        <v>38</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38</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38</v>
      </c>
      <c r="W17" s="128"/>
    </row>
    <row r="18">
      <c r="A18" s="104">
        <v>3.0</v>
      </c>
      <c r="B18" s="151">
        <v>16.0</v>
      </c>
      <c r="C18" s="114" t="s">
        <v>23</v>
      </c>
      <c r="D18" s="116" t="s">
        <v>43</v>
      </c>
      <c r="E18" s="116" t="s">
        <v>37</v>
      </c>
      <c r="F18" s="116" t="s">
        <v>37</v>
      </c>
      <c r="G18" s="116" t="s">
        <v>37</v>
      </c>
      <c r="H18" s="116" t="s">
        <v>37</v>
      </c>
      <c r="I18" s="137"/>
      <c r="J18" s="118"/>
      <c r="K18" s="119"/>
      <c r="L18" s="119"/>
      <c r="M18" s="119"/>
      <c r="N18" s="119"/>
      <c r="O18" s="119"/>
      <c r="P18" s="119"/>
      <c r="Q18" s="119"/>
      <c r="R18" s="119"/>
      <c r="S18" s="119"/>
      <c r="T18" s="119"/>
      <c r="U18" s="119"/>
      <c r="V18" s="129" t="s">
        <v>38</v>
      </c>
      <c r="W18" s="121"/>
    </row>
    <row r="19">
      <c r="A19" s="122">
        <v>3.0</v>
      </c>
      <c r="B19" s="152">
        <v>17.0</v>
      </c>
      <c r="C19" s="152" t="s">
        <v>24</v>
      </c>
      <c r="D19" s="153" t="s">
        <v>44</v>
      </c>
      <c r="E19" s="154" t="s">
        <v>45</v>
      </c>
      <c r="F19" s="155" t="s">
        <v>46</v>
      </c>
      <c r="G19" s="155"/>
      <c r="H19" s="156"/>
      <c r="I19" s="156"/>
      <c r="J19" s="118"/>
      <c r="K19" s="157"/>
      <c r="L19" s="157"/>
      <c r="M19" s="157"/>
      <c r="N19" s="157"/>
      <c r="O19" s="157"/>
      <c r="P19" s="157"/>
      <c r="Q19" s="157"/>
      <c r="R19" s="157"/>
      <c r="S19" s="157"/>
      <c r="T19" s="157"/>
      <c r="U19" s="157"/>
      <c r="V19" s="158" t="s">
        <v>38</v>
      </c>
      <c r="W19" s="113"/>
    </row>
    <row r="20">
      <c r="A20" s="159"/>
      <c r="B20" s="159">
        <v>18.0</v>
      </c>
      <c r="C20" s="160" t="s">
        <v>25</v>
      </c>
      <c r="D20" s="161" t="str">
        <f>IF(OR(EQ(D14,"Y"),EQ(D15,"Y"),EQ(D16,"Y"),EQ(D17,"Y")),"Y","N")</f>
        <v>N</v>
      </c>
      <c r="E20" s="162"/>
      <c r="F20" s="162"/>
      <c r="G20" s="162"/>
      <c r="H20" s="162"/>
      <c r="I20" s="162"/>
      <c r="J20" s="118"/>
      <c r="K20" s="157"/>
      <c r="L20" s="157"/>
      <c r="M20" s="157"/>
      <c r="N20" s="157"/>
      <c r="O20" s="157"/>
      <c r="P20" s="157"/>
      <c r="Q20" s="157"/>
      <c r="R20" s="157"/>
      <c r="S20" s="157"/>
      <c r="T20" s="157"/>
      <c r="U20" s="157"/>
      <c r="V20" s="108" t="s">
        <v>38</v>
      </c>
      <c r="W20" s="109"/>
    </row>
    <row r="21">
      <c r="A21" s="163">
        <v>4.0</v>
      </c>
      <c r="B21" s="164">
        <v>19.0</v>
      </c>
      <c r="C21" s="164" t="s">
        <v>47</v>
      </c>
      <c r="D21" s="165"/>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48</v>
      </c>
      <c r="D25" s="174" t="s">
        <v>49</v>
      </c>
      <c r="J25" s="24"/>
      <c r="K25" s="24"/>
      <c r="L25" s="24"/>
      <c r="M25" s="24"/>
      <c r="N25" s="24"/>
      <c r="O25" s="24"/>
      <c r="P25" s="24"/>
      <c r="Q25" s="24"/>
      <c r="R25" s="24"/>
      <c r="S25" s="24"/>
      <c r="T25" s="24"/>
      <c r="U25" s="24"/>
      <c r="V25" s="24"/>
      <c r="W25" s="24"/>
    </row>
    <row r="26">
      <c r="A26" s="175" t="s">
        <v>50</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51</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52</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53</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54</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50</v>
      </c>
      <c r="B32" s="193"/>
      <c r="C32" s="194" t="s">
        <v>55</v>
      </c>
      <c r="D32" s="195"/>
      <c r="E32" s="195"/>
      <c r="F32" s="195"/>
      <c r="G32" s="195"/>
      <c r="H32" s="195"/>
      <c r="I32" s="195"/>
      <c r="J32" s="195"/>
      <c r="K32" s="195"/>
      <c r="L32" s="195"/>
      <c r="M32" s="195"/>
      <c r="N32" s="195"/>
      <c r="O32" s="195"/>
      <c r="P32" s="195"/>
      <c r="Q32" s="195"/>
      <c r="R32" s="195"/>
      <c r="S32" s="195"/>
      <c r="T32" s="195"/>
      <c r="U32" s="195"/>
      <c r="V32" s="195"/>
      <c r="W32" s="109"/>
    </row>
    <row r="33">
      <c r="A33" s="196" t="s">
        <v>51</v>
      </c>
      <c r="B33" s="190"/>
      <c r="C33" s="196" t="s">
        <v>56</v>
      </c>
      <c r="D33" s="191"/>
      <c r="E33" s="191"/>
      <c r="F33" s="191"/>
      <c r="G33" s="191"/>
      <c r="H33" s="191"/>
      <c r="I33" s="191"/>
      <c r="J33" s="191"/>
      <c r="K33" s="191"/>
      <c r="L33" s="191"/>
      <c r="M33" s="191"/>
      <c r="N33" s="191"/>
      <c r="O33" s="191"/>
      <c r="P33" s="191"/>
      <c r="Q33" s="191"/>
      <c r="R33" s="191"/>
      <c r="S33" s="191"/>
      <c r="T33" s="191"/>
      <c r="U33" s="191"/>
      <c r="V33" s="191"/>
      <c r="W33" s="113"/>
    </row>
    <row r="34">
      <c r="A34" s="192" t="s">
        <v>52</v>
      </c>
      <c r="B34" s="193"/>
      <c r="C34" s="192" t="s">
        <v>57</v>
      </c>
      <c r="D34" s="195"/>
      <c r="E34" s="195"/>
      <c r="F34" s="195"/>
      <c r="G34" s="195"/>
      <c r="H34" s="195"/>
      <c r="I34" s="195"/>
      <c r="J34" s="195"/>
      <c r="K34" s="195"/>
      <c r="L34" s="195"/>
      <c r="M34" s="195"/>
      <c r="N34" s="195"/>
      <c r="O34" s="195"/>
      <c r="P34" s="195"/>
      <c r="Q34" s="195"/>
      <c r="R34" s="195"/>
      <c r="S34" s="195"/>
      <c r="T34" s="195"/>
      <c r="U34" s="195"/>
      <c r="V34" s="195"/>
      <c r="W34" s="109"/>
    </row>
    <row r="35">
      <c r="A35" s="196" t="s">
        <v>53</v>
      </c>
      <c r="B35" s="190"/>
      <c r="C35" s="197" t="s">
        <v>58</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7 E12:H12 E18:H18 D20 D30">
    <cfRule type="cellIs" dxfId="0" priority="1" operator="equal">
      <formula>"n.a."</formula>
    </cfRule>
  </conditionalFormatting>
  <conditionalFormatting sqref="D3:D18 F3 H3 J3 L3 N3 P3 R3 T3 E7 E12:H12 E18:H18 D20 D30">
    <cfRule type="cellIs" dxfId="1" priority="2" operator="equal">
      <formula>"Y"</formula>
    </cfRule>
  </conditionalFormatting>
  <conditionalFormatting sqref="D3:D18 F3 H3 J3 L3 N3 P3 R3 T3 E7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6 D7:E7 D8: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59</v>
      </c>
    </row>
    <row r="3">
      <c r="B3" s="110"/>
      <c r="C3" s="110"/>
      <c r="D3" s="111" t="s">
        <v>34</v>
      </c>
      <c r="E3" s="111" t="s">
        <v>35</v>
      </c>
      <c r="F3" s="111" t="s">
        <v>36</v>
      </c>
      <c r="G3" s="111" t="s">
        <v>37</v>
      </c>
      <c r="H3" s="111" t="s">
        <v>60</v>
      </c>
      <c r="I3" s="111" t="s">
        <v>61</v>
      </c>
      <c r="J3" s="111" t="s">
        <v>36</v>
      </c>
      <c r="K3" s="111" t="s">
        <v>37</v>
      </c>
      <c r="L3" s="111" t="s">
        <v>60</v>
      </c>
      <c r="M3" s="111" t="s">
        <v>61</v>
      </c>
      <c r="N3" s="111" t="s">
        <v>34</v>
      </c>
      <c r="O3" s="111" t="s">
        <v>37</v>
      </c>
      <c r="P3" s="111" t="s">
        <v>37</v>
      </c>
      <c r="Q3" s="111" t="s">
        <v>37</v>
      </c>
      <c r="R3" s="111" t="s">
        <v>37</v>
      </c>
      <c r="S3" s="111" t="s">
        <v>37</v>
      </c>
      <c r="T3" s="111" t="s">
        <v>37</v>
      </c>
      <c r="U3" s="111" t="s">
        <v>37</v>
      </c>
      <c r="V3" s="112"/>
    </row>
    <row r="4">
      <c r="A4" s="104">
        <v>1.0</v>
      </c>
      <c r="B4" s="199">
        <v>2.0</v>
      </c>
      <c r="C4" s="200" t="s">
        <v>9</v>
      </c>
      <c r="D4" s="116" t="s">
        <v>40</v>
      </c>
      <c r="E4" s="201"/>
      <c r="F4" s="201"/>
      <c r="G4" s="201"/>
      <c r="H4" s="201"/>
      <c r="I4" s="201"/>
      <c r="J4" s="202"/>
      <c r="K4" s="202"/>
      <c r="L4" s="202"/>
      <c r="M4" s="202"/>
      <c r="N4" s="202"/>
      <c r="O4" s="202"/>
      <c r="P4" s="202"/>
      <c r="Q4" s="202"/>
      <c r="R4" s="202"/>
      <c r="S4" s="202"/>
      <c r="T4" s="202"/>
      <c r="U4" s="202"/>
      <c r="V4" s="203" t="s">
        <v>38</v>
      </c>
    </row>
    <row r="5">
      <c r="A5" s="122">
        <v>1.0</v>
      </c>
      <c r="B5" s="204">
        <v>3.0</v>
      </c>
      <c r="C5" s="205" t="s">
        <v>10</v>
      </c>
      <c r="D5" s="125" t="s">
        <v>40</v>
      </c>
      <c r="E5" s="206"/>
      <c r="F5" s="206"/>
      <c r="G5" s="206"/>
      <c r="H5" s="206"/>
      <c r="I5" s="206"/>
      <c r="J5" s="207"/>
      <c r="K5" s="207"/>
      <c r="L5" s="207"/>
      <c r="M5" s="207"/>
      <c r="N5" s="207"/>
      <c r="O5" s="207"/>
      <c r="P5" s="207"/>
      <c r="Q5" s="207"/>
      <c r="R5" s="207"/>
      <c r="S5" s="207"/>
      <c r="T5" s="207"/>
      <c r="U5" s="207"/>
      <c r="V5" s="158" t="s">
        <v>38</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38</v>
      </c>
    </row>
    <row r="7">
      <c r="A7" s="122">
        <v>1.0</v>
      </c>
      <c r="B7" s="208">
        <v>5.0</v>
      </c>
      <c r="C7" s="209" t="s">
        <v>12</v>
      </c>
      <c r="D7" s="132" t="s">
        <v>40</v>
      </c>
      <c r="E7" s="210"/>
      <c r="F7" s="210"/>
      <c r="G7" s="210"/>
      <c r="H7" s="210"/>
      <c r="I7" s="210"/>
      <c r="J7" s="207"/>
      <c r="K7" s="207"/>
      <c r="L7" s="207"/>
      <c r="M7" s="207"/>
      <c r="N7" s="207"/>
      <c r="O7" s="207"/>
      <c r="P7" s="207"/>
      <c r="Q7" s="207"/>
      <c r="R7" s="207"/>
      <c r="S7" s="207"/>
      <c r="T7" s="207"/>
      <c r="U7" s="207"/>
      <c r="V7" s="158" t="s">
        <v>38</v>
      </c>
    </row>
    <row r="8">
      <c r="A8" s="104">
        <v>1.0</v>
      </c>
      <c r="B8" s="211">
        <v>6.0</v>
      </c>
      <c r="C8" s="212" t="s">
        <v>13</v>
      </c>
      <c r="D8" s="136" t="s">
        <v>37</v>
      </c>
      <c r="E8" s="210"/>
      <c r="F8" s="210"/>
      <c r="G8" s="210"/>
      <c r="H8" s="210"/>
      <c r="I8" s="210"/>
      <c r="J8" s="207"/>
      <c r="K8" s="207"/>
      <c r="L8" s="207"/>
      <c r="M8" s="207"/>
      <c r="N8" s="207"/>
      <c r="O8" s="207"/>
      <c r="P8" s="207"/>
      <c r="Q8" s="207"/>
      <c r="R8" s="207"/>
      <c r="S8" s="207"/>
      <c r="T8" s="207"/>
      <c r="U8" s="207"/>
      <c r="V8" s="203" t="s">
        <v>38</v>
      </c>
    </row>
    <row r="9">
      <c r="A9" s="122">
        <v>1.0</v>
      </c>
      <c r="B9" s="208">
        <v>7.0</v>
      </c>
      <c r="C9" s="209" t="s">
        <v>14</v>
      </c>
      <c r="D9" s="132" t="s">
        <v>37</v>
      </c>
      <c r="E9" s="210"/>
      <c r="F9" s="210"/>
      <c r="G9" s="210"/>
      <c r="H9" s="210"/>
      <c r="I9" s="210"/>
      <c r="J9" s="207"/>
      <c r="K9" s="207"/>
      <c r="L9" s="207"/>
      <c r="M9" s="207"/>
      <c r="N9" s="207"/>
      <c r="O9" s="207"/>
      <c r="P9" s="207"/>
      <c r="Q9" s="207"/>
      <c r="R9" s="207"/>
      <c r="S9" s="207"/>
      <c r="T9" s="207"/>
      <c r="U9" s="207"/>
      <c r="V9" s="158" t="s">
        <v>38</v>
      </c>
    </row>
    <row r="10">
      <c r="A10" s="104">
        <v>2.0</v>
      </c>
      <c r="B10" s="211">
        <v>8.0</v>
      </c>
      <c r="C10" s="211" t="s">
        <v>15</v>
      </c>
      <c r="D10" s="136">
        <v>1.0</v>
      </c>
      <c r="E10" s="213"/>
      <c r="F10" s="213"/>
      <c r="G10" s="213"/>
      <c r="H10" s="213"/>
      <c r="I10" s="213"/>
      <c r="J10" s="202"/>
      <c r="K10" s="202"/>
      <c r="L10" s="202"/>
      <c r="M10" s="202"/>
      <c r="N10" s="202"/>
      <c r="O10" s="202"/>
      <c r="P10" s="202"/>
      <c r="Q10" s="202"/>
      <c r="R10" s="202"/>
      <c r="S10" s="202"/>
      <c r="T10" s="202"/>
      <c r="U10" s="202"/>
      <c r="V10" s="203" t="s">
        <v>38</v>
      </c>
    </row>
    <row r="11">
      <c r="A11" s="122">
        <v>2.0</v>
      </c>
      <c r="B11" s="208">
        <v>9.0</v>
      </c>
      <c r="C11" s="214" t="s">
        <v>16</v>
      </c>
      <c r="D11" s="141" t="s">
        <v>37</v>
      </c>
      <c r="E11" s="213"/>
      <c r="F11" s="213"/>
      <c r="G11" s="213"/>
      <c r="H11" s="213"/>
      <c r="I11" s="213"/>
      <c r="J11" s="202"/>
      <c r="K11" s="202"/>
      <c r="L11" s="202"/>
      <c r="M11" s="202"/>
      <c r="N11" s="202"/>
      <c r="O11" s="202"/>
      <c r="P11" s="202"/>
      <c r="Q11" s="202"/>
      <c r="R11" s="202"/>
      <c r="S11" s="202"/>
      <c r="T11" s="202"/>
      <c r="U11" s="202"/>
      <c r="V11" s="158" t="s">
        <v>38</v>
      </c>
    </row>
    <row r="12">
      <c r="A12" s="104" t="s">
        <v>32</v>
      </c>
      <c r="B12" s="211">
        <v>10.0</v>
      </c>
      <c r="C12" s="211" t="s">
        <v>17</v>
      </c>
      <c r="D12" s="136" t="s">
        <v>62</v>
      </c>
      <c r="E12" s="215" t="s">
        <v>63</v>
      </c>
      <c r="F12" s="215" t="s">
        <v>37</v>
      </c>
      <c r="G12" s="215" t="s">
        <v>37</v>
      </c>
      <c r="H12" s="215" t="s">
        <v>37</v>
      </c>
      <c r="I12" s="213"/>
      <c r="J12" s="202"/>
      <c r="K12" s="202"/>
      <c r="L12" s="202"/>
      <c r="M12" s="202"/>
      <c r="N12" s="202"/>
      <c r="O12" s="202"/>
      <c r="P12" s="202"/>
      <c r="Q12" s="202"/>
      <c r="R12" s="202"/>
      <c r="S12" s="202"/>
      <c r="T12" s="202"/>
      <c r="U12" s="202"/>
      <c r="V12" s="203" t="s">
        <v>38</v>
      </c>
    </row>
    <row r="13">
      <c r="A13" s="122">
        <v>3.0</v>
      </c>
      <c r="B13" s="208">
        <v>11.0</v>
      </c>
      <c r="C13" s="208" t="s">
        <v>18</v>
      </c>
      <c r="D13" s="132" t="s">
        <v>41</v>
      </c>
      <c r="E13" s="216" t="s">
        <v>64</v>
      </c>
      <c r="F13" s="217"/>
      <c r="G13" s="217"/>
      <c r="H13" s="213"/>
      <c r="I13" s="213"/>
      <c r="J13" s="202"/>
      <c r="K13" s="202"/>
      <c r="L13" s="202"/>
      <c r="M13" s="202"/>
      <c r="N13" s="202"/>
      <c r="O13" s="202"/>
      <c r="P13" s="202"/>
      <c r="Q13" s="202"/>
      <c r="R13" s="202"/>
      <c r="S13" s="202"/>
      <c r="T13" s="202"/>
      <c r="U13" s="202"/>
      <c r="V13" s="158" t="s">
        <v>38</v>
      </c>
    </row>
    <row r="14">
      <c r="A14" s="104">
        <v>1.0</v>
      </c>
      <c r="B14" s="211">
        <v>12.0</v>
      </c>
      <c r="C14" s="211" t="s">
        <v>19</v>
      </c>
      <c r="D14" s="145" t="str">
        <f t="shared" ref="D14:D16" si="1">IF(G14&gt;0,"Y","N")</f>
        <v>Y</v>
      </c>
      <c r="E14" s="218">
        <f>IF(OR(EXACT(D7,"Y")),1,0)</f>
        <v>1</v>
      </c>
      <c r="F14" s="219">
        <f>IF(OR(EXACT(D9,"Y")),1,0)</f>
        <v>0</v>
      </c>
      <c r="G14" s="219">
        <f t="shared" ref="G14:G16" si="2">E14+F14</f>
        <v>1</v>
      </c>
      <c r="H14" s="220"/>
      <c r="I14" s="213"/>
      <c r="J14" s="202"/>
      <c r="K14" s="202"/>
      <c r="L14" s="202"/>
      <c r="M14" s="202"/>
      <c r="N14" s="202"/>
      <c r="O14" s="202"/>
      <c r="P14" s="202"/>
      <c r="Q14" s="202"/>
      <c r="R14" s="202"/>
      <c r="S14" s="202"/>
      <c r="T14" s="202"/>
      <c r="U14" s="202"/>
      <c r="V14" s="203" t="s">
        <v>38</v>
      </c>
    </row>
    <row r="15">
      <c r="A15" s="122">
        <v>1.0</v>
      </c>
      <c r="B15" s="208">
        <v>13.0</v>
      </c>
      <c r="C15" s="208" t="s">
        <v>20</v>
      </c>
      <c r="D15" s="145" t="str">
        <f t="shared" si="1"/>
        <v>Y</v>
      </c>
      <c r="E15" s="221">
        <f t="shared" ref="E15:E16" si="3">IF(OR(EXACT(D4,"Y")),1,0)</f>
        <v>1</v>
      </c>
      <c r="F15" s="222">
        <f>IF(OR(EXACT(D6,"Y")),1,0)</f>
        <v>0</v>
      </c>
      <c r="G15" s="222">
        <f t="shared" si="2"/>
        <v>1</v>
      </c>
      <c r="H15" s="220"/>
      <c r="I15" s="213"/>
      <c r="J15" s="202"/>
      <c r="K15" s="202"/>
      <c r="L15" s="202"/>
      <c r="M15" s="202"/>
      <c r="N15" s="202"/>
      <c r="O15" s="202"/>
      <c r="P15" s="202"/>
      <c r="Q15" s="202"/>
      <c r="R15" s="202"/>
      <c r="S15" s="202"/>
      <c r="T15" s="202"/>
      <c r="U15" s="202"/>
      <c r="V15" s="158" t="s">
        <v>38</v>
      </c>
    </row>
    <row r="16">
      <c r="A16" s="104">
        <v>1.0</v>
      </c>
      <c r="B16" s="211">
        <v>14.0</v>
      </c>
      <c r="C16" s="211" t="s">
        <v>21</v>
      </c>
      <c r="D16" s="145" t="str">
        <f t="shared" si="1"/>
        <v>Y</v>
      </c>
      <c r="E16" s="218">
        <f t="shared" si="3"/>
        <v>1</v>
      </c>
      <c r="F16" s="219">
        <f>IF(OR(EXACT(D8,"Y")),1,0)</f>
        <v>0</v>
      </c>
      <c r="G16" s="219">
        <f t="shared" si="2"/>
        <v>1</v>
      </c>
      <c r="H16" s="220"/>
      <c r="I16" s="213"/>
      <c r="J16" s="202"/>
      <c r="K16" s="202"/>
      <c r="L16" s="202"/>
      <c r="M16" s="202"/>
      <c r="N16" s="202"/>
      <c r="O16" s="202"/>
      <c r="P16" s="202"/>
      <c r="Q16" s="202"/>
      <c r="R16" s="202"/>
      <c r="S16" s="202"/>
      <c r="T16" s="202"/>
      <c r="U16" s="202"/>
      <c r="V16" s="203" t="s">
        <v>38</v>
      </c>
    </row>
    <row r="17">
      <c r="A17" s="122">
        <v>1.0</v>
      </c>
      <c r="B17" s="208">
        <v>15.0</v>
      </c>
      <c r="C17" s="208" t="s">
        <v>22</v>
      </c>
      <c r="D17" s="149" t="str">
        <f>IF(E17&gt;0,"Y","N")</f>
        <v>Y</v>
      </c>
      <c r="E17" s="221">
        <f>IF(OR(AND(G14,OR(G15,G16)),AND(G15,OR(G14,G16)),AND(G16,OR(G14,G15))),1,0)</f>
        <v>1</v>
      </c>
      <c r="F17" s="223"/>
      <c r="G17" s="201"/>
      <c r="H17" s="213"/>
      <c r="I17" s="213"/>
      <c r="J17" s="202"/>
      <c r="K17" s="202"/>
      <c r="L17" s="202"/>
      <c r="M17" s="202"/>
      <c r="N17" s="202"/>
      <c r="O17" s="202"/>
      <c r="P17" s="202"/>
      <c r="Q17" s="202"/>
      <c r="R17" s="202"/>
      <c r="S17" s="202"/>
      <c r="T17" s="202"/>
      <c r="U17" s="202"/>
      <c r="V17" s="158" t="s">
        <v>38</v>
      </c>
    </row>
    <row r="18">
      <c r="A18" s="104">
        <v>3.0</v>
      </c>
      <c r="B18" s="224">
        <v>16.0</v>
      </c>
      <c r="C18" s="199" t="s">
        <v>23</v>
      </c>
      <c r="D18" s="225" t="s">
        <v>43</v>
      </c>
      <c r="E18" s="225" t="s">
        <v>37</v>
      </c>
      <c r="F18" s="225" t="s">
        <v>37</v>
      </c>
      <c r="G18" s="225" t="s">
        <v>37</v>
      </c>
      <c r="H18" s="225" t="s">
        <v>37</v>
      </c>
      <c r="I18" s="213"/>
      <c r="J18" s="202"/>
      <c r="K18" s="202"/>
      <c r="L18" s="202"/>
      <c r="M18" s="202"/>
      <c r="N18" s="202"/>
      <c r="O18" s="202"/>
      <c r="P18" s="202"/>
      <c r="Q18" s="202"/>
      <c r="R18" s="202"/>
      <c r="S18" s="202"/>
      <c r="T18" s="202"/>
      <c r="U18" s="202"/>
      <c r="V18" s="203" t="s">
        <v>38</v>
      </c>
    </row>
    <row r="19">
      <c r="A19" s="122">
        <v>3.0</v>
      </c>
      <c r="B19" s="152">
        <v>17.0</v>
      </c>
      <c r="C19" s="152" t="s">
        <v>24</v>
      </c>
      <c r="D19" s="226" t="s">
        <v>65</v>
      </c>
      <c r="E19" s="226" t="s">
        <v>45</v>
      </c>
      <c r="F19" s="227" t="s">
        <v>66</v>
      </c>
      <c r="G19" s="226" t="s">
        <v>67</v>
      </c>
      <c r="H19" s="226" t="s">
        <v>68</v>
      </c>
      <c r="I19" s="228"/>
      <c r="J19" s="229"/>
      <c r="K19" s="229"/>
      <c r="L19" s="229"/>
      <c r="M19" s="229"/>
      <c r="N19" s="229"/>
      <c r="O19" s="229"/>
      <c r="P19" s="229"/>
      <c r="Q19" s="229"/>
      <c r="R19" s="229"/>
      <c r="S19" s="229"/>
      <c r="T19" s="229"/>
      <c r="U19" s="229"/>
      <c r="V19" s="230" t="s">
        <v>38</v>
      </c>
    </row>
    <row r="20">
      <c r="A20" s="159"/>
      <c r="B20" s="159">
        <v>18.0</v>
      </c>
      <c r="C20" s="160" t="s">
        <v>25</v>
      </c>
      <c r="D20" s="161" t="str">
        <f>IF(OR(EQ(D14,"Y"),EQ(D15,"Y"),EQ(D16,"Y"),EQ(D17,"Y")),"Y","N")</f>
        <v>Y</v>
      </c>
      <c r="E20" s="231"/>
      <c r="F20" s="231"/>
      <c r="G20" s="231"/>
      <c r="H20" s="231"/>
      <c r="I20" s="231"/>
      <c r="J20" s="232"/>
      <c r="K20" s="232"/>
      <c r="L20" s="232"/>
      <c r="M20" s="232"/>
      <c r="N20" s="232"/>
      <c r="O20" s="232"/>
      <c r="P20" s="232"/>
      <c r="Q20" s="232"/>
      <c r="R20" s="232"/>
      <c r="S20" s="232"/>
      <c r="T20" s="232"/>
      <c r="U20" s="232"/>
      <c r="V20" s="203" t="s">
        <v>38</v>
      </c>
    </row>
    <row r="21">
      <c r="A21" s="163">
        <v>4.0</v>
      </c>
      <c r="B21" s="164">
        <v>19.0</v>
      </c>
      <c r="C21" s="164" t="s">
        <v>47</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48</v>
      </c>
      <c r="D25" s="174" t="s">
        <v>69</v>
      </c>
      <c r="J25" s="24"/>
      <c r="K25" s="24"/>
      <c r="L25" s="24"/>
      <c r="M25" s="24"/>
      <c r="N25" s="24"/>
      <c r="O25" s="24"/>
      <c r="P25" s="24"/>
      <c r="Q25" s="24"/>
      <c r="R25" s="24"/>
      <c r="S25" s="24"/>
      <c r="T25" s="24"/>
      <c r="U25" s="24"/>
      <c r="V25" s="24"/>
    </row>
    <row r="26">
      <c r="A26" s="175" t="s">
        <v>50</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51</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52</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53</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54</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50</v>
      </c>
      <c r="B32" s="193"/>
      <c r="C32" s="194" t="s">
        <v>55</v>
      </c>
      <c r="D32" s="195"/>
      <c r="E32" s="195"/>
      <c r="F32" s="195"/>
      <c r="G32" s="195"/>
      <c r="H32" s="195"/>
      <c r="I32" s="195"/>
      <c r="J32" s="195"/>
      <c r="K32" s="195"/>
      <c r="L32" s="195"/>
      <c r="M32" s="195"/>
      <c r="N32" s="195"/>
      <c r="O32" s="195"/>
      <c r="P32" s="195"/>
      <c r="Q32" s="195"/>
      <c r="R32" s="195"/>
      <c r="S32" s="195"/>
      <c r="T32" s="195"/>
      <c r="U32" s="195"/>
      <c r="V32" s="195"/>
    </row>
    <row r="33">
      <c r="A33" s="196" t="s">
        <v>51</v>
      </c>
      <c r="B33" s="190"/>
      <c r="C33" s="196" t="s">
        <v>56</v>
      </c>
      <c r="D33" s="191"/>
      <c r="E33" s="191"/>
      <c r="F33" s="191"/>
      <c r="G33" s="191"/>
      <c r="H33" s="191"/>
      <c r="I33" s="191"/>
      <c r="J33" s="191"/>
      <c r="K33" s="191"/>
      <c r="L33" s="191"/>
      <c r="M33" s="191"/>
      <c r="N33" s="191"/>
      <c r="O33" s="191"/>
      <c r="P33" s="191"/>
      <c r="Q33" s="191"/>
      <c r="R33" s="191"/>
      <c r="S33" s="191"/>
      <c r="T33" s="191"/>
      <c r="U33" s="191"/>
      <c r="V33" s="191"/>
    </row>
    <row r="34">
      <c r="A34" s="192" t="s">
        <v>52</v>
      </c>
      <c r="B34" s="193"/>
      <c r="C34" s="192" t="s">
        <v>57</v>
      </c>
      <c r="D34" s="195"/>
      <c r="E34" s="195"/>
      <c r="F34" s="195"/>
      <c r="G34" s="195"/>
      <c r="H34" s="195"/>
      <c r="I34" s="195"/>
      <c r="J34" s="195"/>
      <c r="K34" s="195"/>
      <c r="L34" s="195"/>
      <c r="M34" s="195"/>
      <c r="N34" s="195"/>
      <c r="O34" s="195"/>
      <c r="P34" s="195"/>
      <c r="Q34" s="195"/>
      <c r="R34" s="195"/>
      <c r="S34" s="195"/>
      <c r="T34" s="195"/>
      <c r="U34" s="195"/>
      <c r="V34" s="195"/>
    </row>
    <row r="35">
      <c r="A35" s="196" t="s">
        <v>53</v>
      </c>
      <c r="B35" s="190"/>
      <c r="C35" s="197" t="s">
        <v>58</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70</v>
      </c>
    </row>
    <row r="3">
      <c r="B3" s="110"/>
      <c r="C3" s="110"/>
      <c r="D3" s="111" t="s">
        <v>37</v>
      </c>
      <c r="E3" s="111" t="s">
        <v>37</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37</v>
      </c>
      <c r="E4" s="201"/>
      <c r="F4" s="201"/>
      <c r="G4" s="201"/>
      <c r="H4" s="201"/>
      <c r="I4" s="201"/>
      <c r="J4" s="202"/>
      <c r="K4" s="202"/>
      <c r="L4" s="202"/>
      <c r="M4" s="202"/>
      <c r="N4" s="202"/>
      <c r="O4" s="202"/>
      <c r="P4" s="202"/>
      <c r="Q4" s="202"/>
      <c r="R4" s="202"/>
      <c r="S4" s="202"/>
      <c r="T4" s="202"/>
      <c r="U4" s="202"/>
      <c r="V4" s="203" t="s">
        <v>38</v>
      </c>
    </row>
    <row r="5">
      <c r="A5" s="122">
        <v>1.0</v>
      </c>
      <c r="B5" s="204">
        <v>3.0</v>
      </c>
      <c r="C5" s="205" t="s">
        <v>10</v>
      </c>
      <c r="D5" s="125" t="s">
        <v>37</v>
      </c>
      <c r="E5" s="206"/>
      <c r="F5" s="206"/>
      <c r="G5" s="206"/>
      <c r="H5" s="206"/>
      <c r="I5" s="206"/>
      <c r="J5" s="207"/>
      <c r="K5" s="207"/>
      <c r="L5" s="207"/>
      <c r="M5" s="207"/>
      <c r="N5" s="207"/>
      <c r="O5" s="207"/>
      <c r="P5" s="207"/>
      <c r="Q5" s="207"/>
      <c r="R5" s="207"/>
      <c r="S5" s="207"/>
      <c r="T5" s="207"/>
      <c r="U5" s="207"/>
      <c r="V5" s="158" t="s">
        <v>38</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38</v>
      </c>
    </row>
    <row r="7">
      <c r="A7" s="122">
        <v>1.0</v>
      </c>
      <c r="B7" s="208">
        <v>5.0</v>
      </c>
      <c r="C7" s="209" t="s">
        <v>12</v>
      </c>
      <c r="D7" s="132" t="s">
        <v>37</v>
      </c>
      <c r="E7" s="210"/>
      <c r="F7" s="210"/>
      <c r="G7" s="210"/>
      <c r="H7" s="210"/>
      <c r="I7" s="210"/>
      <c r="J7" s="207"/>
      <c r="K7" s="207"/>
      <c r="L7" s="207"/>
      <c r="M7" s="207"/>
      <c r="N7" s="207"/>
      <c r="O7" s="207"/>
      <c r="P7" s="207"/>
      <c r="Q7" s="207"/>
      <c r="R7" s="207"/>
      <c r="S7" s="207"/>
      <c r="T7" s="207"/>
      <c r="U7" s="207"/>
      <c r="V7" s="158" t="s">
        <v>38</v>
      </c>
    </row>
    <row r="8">
      <c r="A8" s="104">
        <v>1.0</v>
      </c>
      <c r="B8" s="211">
        <v>6.0</v>
      </c>
      <c r="C8" s="212" t="s">
        <v>13</v>
      </c>
      <c r="D8" s="136" t="s">
        <v>37</v>
      </c>
      <c r="E8" s="210"/>
      <c r="F8" s="210"/>
      <c r="G8" s="210"/>
      <c r="H8" s="210"/>
      <c r="I8" s="210"/>
      <c r="J8" s="207"/>
      <c r="K8" s="207"/>
      <c r="L8" s="207"/>
      <c r="M8" s="207"/>
      <c r="N8" s="207"/>
      <c r="O8" s="207"/>
      <c r="P8" s="207"/>
      <c r="Q8" s="207"/>
      <c r="R8" s="207"/>
      <c r="S8" s="207"/>
      <c r="T8" s="207"/>
      <c r="U8" s="207"/>
      <c r="V8" s="203" t="s">
        <v>38</v>
      </c>
    </row>
    <row r="9">
      <c r="A9" s="122">
        <v>1.0</v>
      </c>
      <c r="B9" s="208">
        <v>7.0</v>
      </c>
      <c r="C9" s="209" t="s">
        <v>14</v>
      </c>
      <c r="D9" s="132" t="s">
        <v>37</v>
      </c>
      <c r="E9" s="210"/>
      <c r="F9" s="210"/>
      <c r="G9" s="210"/>
      <c r="H9" s="210"/>
      <c r="I9" s="210"/>
      <c r="J9" s="207"/>
      <c r="K9" s="207"/>
      <c r="L9" s="207"/>
      <c r="M9" s="207"/>
      <c r="N9" s="207"/>
      <c r="O9" s="207"/>
      <c r="P9" s="207"/>
      <c r="Q9" s="207"/>
      <c r="R9" s="207"/>
      <c r="S9" s="207"/>
      <c r="T9" s="207"/>
      <c r="U9" s="207"/>
      <c r="V9" s="158" t="s">
        <v>38</v>
      </c>
    </row>
    <row r="10">
      <c r="A10" s="104">
        <v>2.0</v>
      </c>
      <c r="B10" s="211">
        <v>8.0</v>
      </c>
      <c r="C10" s="211" t="s">
        <v>15</v>
      </c>
      <c r="D10" s="136" t="s">
        <v>37</v>
      </c>
      <c r="E10" s="213"/>
      <c r="F10" s="213"/>
      <c r="G10" s="213"/>
      <c r="H10" s="213"/>
      <c r="I10" s="213"/>
      <c r="J10" s="202"/>
      <c r="K10" s="202"/>
      <c r="L10" s="202"/>
      <c r="M10" s="202"/>
      <c r="N10" s="202"/>
      <c r="O10" s="202"/>
      <c r="P10" s="202"/>
      <c r="Q10" s="202"/>
      <c r="R10" s="202"/>
      <c r="S10" s="202"/>
      <c r="T10" s="202"/>
      <c r="U10" s="202"/>
      <c r="V10" s="203" t="s">
        <v>38</v>
      </c>
    </row>
    <row r="11">
      <c r="A11" s="122">
        <v>2.0</v>
      </c>
      <c r="B11" s="208">
        <v>9.0</v>
      </c>
      <c r="C11" s="214" t="s">
        <v>16</v>
      </c>
      <c r="D11" s="141" t="s">
        <v>37</v>
      </c>
      <c r="E11" s="213"/>
      <c r="F11" s="213"/>
      <c r="G11" s="213"/>
      <c r="H11" s="213"/>
      <c r="I11" s="213"/>
      <c r="J11" s="202"/>
      <c r="K11" s="202"/>
      <c r="L11" s="202"/>
      <c r="M11" s="202"/>
      <c r="N11" s="202"/>
      <c r="O11" s="202"/>
      <c r="P11" s="202"/>
      <c r="Q11" s="202"/>
      <c r="R11" s="202"/>
      <c r="S11" s="202"/>
      <c r="T11" s="202"/>
      <c r="U11" s="202"/>
      <c r="V11" s="158" t="s">
        <v>38</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38</v>
      </c>
    </row>
    <row r="13">
      <c r="A13" s="122">
        <v>3.0</v>
      </c>
      <c r="B13" s="208">
        <v>11.0</v>
      </c>
      <c r="C13" s="208" t="s">
        <v>18</v>
      </c>
      <c r="D13" s="132" t="s">
        <v>37</v>
      </c>
      <c r="E13" s="216"/>
      <c r="F13" s="217"/>
      <c r="G13" s="217"/>
      <c r="H13" s="213"/>
      <c r="I13" s="213"/>
      <c r="J13" s="202"/>
      <c r="K13" s="202"/>
      <c r="L13" s="202"/>
      <c r="M13" s="202"/>
      <c r="N13" s="202"/>
      <c r="O13" s="202"/>
      <c r="P13" s="202"/>
      <c r="Q13" s="202"/>
      <c r="R13" s="202"/>
      <c r="S13" s="202"/>
      <c r="T13" s="202"/>
      <c r="U13" s="202"/>
      <c r="V13" s="158" t="s">
        <v>38</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38</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38</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38</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38</v>
      </c>
    </row>
    <row r="18">
      <c r="A18" s="104">
        <v>3.0</v>
      </c>
      <c r="B18" s="224">
        <v>16.0</v>
      </c>
      <c r="C18" s="199" t="s">
        <v>23</v>
      </c>
      <c r="D18" s="225" t="s">
        <v>37</v>
      </c>
      <c r="E18" s="225" t="s">
        <v>37</v>
      </c>
      <c r="F18" s="225" t="s">
        <v>37</v>
      </c>
      <c r="G18" s="225" t="s">
        <v>37</v>
      </c>
      <c r="H18" s="225" t="s">
        <v>37</v>
      </c>
      <c r="I18" s="213"/>
      <c r="J18" s="202"/>
      <c r="K18" s="202"/>
      <c r="L18" s="202"/>
      <c r="M18" s="202"/>
      <c r="N18" s="202"/>
      <c r="O18" s="202"/>
      <c r="P18" s="202"/>
      <c r="Q18" s="202"/>
      <c r="R18" s="202"/>
      <c r="S18" s="202"/>
      <c r="T18" s="202"/>
      <c r="U18" s="202"/>
      <c r="V18" s="203" t="s">
        <v>38</v>
      </c>
    </row>
    <row r="19">
      <c r="A19" s="122">
        <v>3.0</v>
      </c>
      <c r="B19" s="152">
        <v>17.0</v>
      </c>
      <c r="C19" s="152" t="s">
        <v>24</v>
      </c>
      <c r="D19" s="153"/>
      <c r="E19" s="153"/>
      <c r="F19" s="233"/>
      <c r="G19" s="233"/>
      <c r="H19" s="233"/>
      <c r="I19" s="228"/>
      <c r="J19" s="229"/>
      <c r="K19" s="229"/>
      <c r="L19" s="229"/>
      <c r="M19" s="229"/>
      <c r="N19" s="229"/>
      <c r="O19" s="229"/>
      <c r="P19" s="229"/>
      <c r="Q19" s="229"/>
      <c r="R19" s="229"/>
      <c r="S19" s="229"/>
      <c r="T19" s="229"/>
      <c r="U19" s="229"/>
      <c r="V19" s="230" t="s">
        <v>38</v>
      </c>
    </row>
    <row r="20">
      <c r="A20" s="159"/>
      <c r="B20" s="159">
        <v>18.0</v>
      </c>
      <c r="C20" s="160" t="s">
        <v>25</v>
      </c>
      <c r="D20" s="161" t="str">
        <f>IF(OR(EQ(D14,"Y"),EQ(D15,"Y"),EQ(D16,"Y"),EQ(D17,"Y")),"Y","N")</f>
        <v>N</v>
      </c>
      <c r="E20" s="231"/>
      <c r="F20" s="231"/>
      <c r="G20" s="231"/>
      <c r="H20" s="231"/>
      <c r="I20" s="231"/>
      <c r="J20" s="232"/>
      <c r="K20" s="232"/>
      <c r="L20" s="232"/>
      <c r="M20" s="232"/>
      <c r="N20" s="232"/>
      <c r="O20" s="232"/>
      <c r="P20" s="232"/>
      <c r="Q20" s="232"/>
      <c r="R20" s="232"/>
      <c r="S20" s="232"/>
      <c r="T20" s="232"/>
      <c r="U20" s="232"/>
      <c r="V20" s="203" t="s">
        <v>38</v>
      </c>
    </row>
    <row r="21">
      <c r="A21" s="163">
        <v>4.0</v>
      </c>
      <c r="B21" s="164">
        <v>19.0</v>
      </c>
      <c r="C21" s="164" t="s">
        <v>47</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48</v>
      </c>
      <c r="D25" s="174" t="s">
        <v>37</v>
      </c>
      <c r="J25" s="24"/>
      <c r="K25" s="24"/>
      <c r="L25" s="24"/>
      <c r="M25" s="24"/>
      <c r="N25" s="24"/>
      <c r="O25" s="24"/>
      <c r="P25" s="24"/>
      <c r="Q25" s="24"/>
      <c r="R25" s="24"/>
      <c r="S25" s="24"/>
      <c r="T25" s="24"/>
      <c r="U25" s="24"/>
      <c r="V25" s="24"/>
    </row>
    <row r="26">
      <c r="A26" s="175" t="s">
        <v>50</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51</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52</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53</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54</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50</v>
      </c>
      <c r="B32" s="193"/>
      <c r="C32" s="194" t="s">
        <v>55</v>
      </c>
      <c r="D32" s="195"/>
      <c r="E32" s="195"/>
      <c r="F32" s="195"/>
      <c r="G32" s="195"/>
      <c r="H32" s="195"/>
      <c r="I32" s="195"/>
      <c r="J32" s="195"/>
      <c r="K32" s="195"/>
      <c r="L32" s="195"/>
      <c r="M32" s="195"/>
      <c r="N32" s="195"/>
      <c r="O32" s="195"/>
      <c r="P32" s="195"/>
      <c r="Q32" s="195"/>
      <c r="R32" s="195"/>
      <c r="S32" s="195"/>
      <c r="T32" s="195"/>
      <c r="U32" s="195"/>
      <c r="V32" s="195"/>
    </row>
    <row r="33">
      <c r="A33" s="196" t="s">
        <v>51</v>
      </c>
      <c r="B33" s="190"/>
      <c r="C33" s="196" t="s">
        <v>56</v>
      </c>
      <c r="D33" s="191"/>
      <c r="E33" s="191"/>
      <c r="F33" s="191"/>
      <c r="G33" s="191"/>
      <c r="H33" s="191"/>
      <c r="I33" s="191"/>
      <c r="J33" s="191"/>
      <c r="K33" s="191"/>
      <c r="L33" s="191"/>
      <c r="M33" s="191"/>
      <c r="N33" s="191"/>
      <c r="O33" s="191"/>
      <c r="P33" s="191"/>
      <c r="Q33" s="191"/>
      <c r="R33" s="191"/>
      <c r="S33" s="191"/>
      <c r="T33" s="191"/>
      <c r="U33" s="191"/>
      <c r="V33" s="191"/>
    </row>
    <row r="34">
      <c r="A34" s="192" t="s">
        <v>52</v>
      </c>
      <c r="B34" s="193"/>
      <c r="C34" s="192" t="s">
        <v>57</v>
      </c>
      <c r="D34" s="195"/>
      <c r="E34" s="195"/>
      <c r="F34" s="195"/>
      <c r="G34" s="195"/>
      <c r="H34" s="195"/>
      <c r="I34" s="195"/>
      <c r="J34" s="195"/>
      <c r="K34" s="195"/>
      <c r="L34" s="195"/>
      <c r="M34" s="195"/>
      <c r="N34" s="195"/>
      <c r="O34" s="195"/>
      <c r="P34" s="195"/>
      <c r="Q34" s="195"/>
      <c r="R34" s="195"/>
      <c r="S34" s="195"/>
      <c r="T34" s="195"/>
      <c r="U34" s="195"/>
      <c r="V34" s="195"/>
    </row>
    <row r="35">
      <c r="A35" s="196" t="s">
        <v>53</v>
      </c>
      <c r="B35" s="190"/>
      <c r="C35" s="197" t="s">
        <v>58</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