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<sst xmlns="http://schemas.openxmlformats.org/spreadsheetml/2006/main" count="383" uniqueCount="74">
  <si>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</si>
  <si>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</si>
  <si>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</si>
  <si>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</si>
  <si>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</si>
  <si>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</si>
  <si>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</si>
  <si>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</si>
  <si>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</si>
  <si>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</si>
  <si>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</si>
  <si>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</si>
  <si>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</si>
  <si>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</si>
  <si>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</si>
  <si>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</si>
  <si>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</si>
  <si>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</si>
  <si>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</si>
  <si>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</si>
  <si>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</si>
  <si>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</si>
  <si>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</si>
  <si>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</si>
  <si>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</si>
  <si>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</si>
  <si>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</si>
  <si>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</si>
  <si>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</si>
  <si>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</si>
  <si>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</si>
  <si>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</si>
  <si>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</si>
  <si>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This paper presents a novel Data Quality Scoring Operations (DQSOps) framework that yields a quality score for production data in DataOps workflows.</t>
  </si>
  <si>
    <t>DevOps</t>
  </si>
  <si>
    <t>Resource</t>
  </si>
  <si>
    <t>Process</t>
  </si>
  <si>
    <t>AI/ML</t>
  </si>
  <si>
    <t>n.a.</t>
  </si>
  <si>
    <t>N</t>
  </si>
  <si>
    <t>&lt;add your comment here if any&gt;</t>
  </si>
  <si>
    <t>Y</t>
  </si>
  <si>
    <t>The proposed (ML-based) framework addresses the improvement of the quality of DataOps workflows.</t>
  </si>
  <si>
    <t>The proposed framework incorporates two scoring approaches, an ML prediction-based approach that predicts the data quality score and a standard-based approach that periodically produces the ground-truth scores based on assessing several data quality dimensions.</t>
  </si>
  <si>
    <t>The DQSOps framework has been deployed in a real-world industrial use case (Electroslag Remelting (ESR) vacuum pumping at Uddeholm steel company in Sweden)</t>
  </si>
  <si>
    <t>The implementation of the framework (in the industrial case) is described, but the source code is not provided.</t>
  </si>
  <si>
    <t>Monitoring</t>
  </si>
  <si>
    <t>Conference</t>
  </si>
  <si>
    <t>27th International Conference on Evaluation and Assessment in Software Engineering (EASE'23)</t>
  </si>
  <si>
    <t>Manufacturing</t>
  </si>
  <si>
    <t>application domain independent</t>
  </si>
  <si>
    <t>Automated data scoring</t>
  </si>
  <si>
    <t>DataOps</t>
  </si>
  <si>
    <t>data assessment</t>
  </si>
  <si>
    <t>data quality dimensions</t>
  </si>
  <si>
    <t>mutation testing</t>
  </si>
  <si>
    <t>Future research directions (as stated by authors, if any)</t>
  </si>
  <si>
    <t xml:space="preserve">Reviewer </t>
  </si>
  <si>
    <t>Hugo Bruneliere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</si>
  <si>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</si>
  <si>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</si>
  <si>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</si>
  <si>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</si>
  <si>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</si>
  <si>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</si>
  <si>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</si>
  <si>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</si>
  <si>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</si>
  <si>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This paper presents a novel Data Quality Scoring Operations (DQSOps) framework that yields a quality score for production data in DataOps workflows. The framework incorporates two scoring approaches, an ML prediction-based ap_x0002_proach that predicts the data quality score and a standard-based approach that periodically produces the ground-truth scores based on assessing several data quality dimensions. The DQ_x0002_SOps framework is deployed in a real-world industrial use case.</t>
  </si>
  <si>
    <t>Product</t>
  </si>
  <si>
    <t>Testing</t>
  </si>
  <si>
    <t>EASE '23: Proceedings of the 27th International Conference on Evaluation and Assessment in Software Engineering</t>
  </si>
  <si>
    <t>Pasqualina Potena</t>
  </si>
  <si>
    <t>&lt;Please report the main contributions of the paper as stated by the authors. If not explicitly elicited, report the main research areas, if not clear from the keywords.&gt;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</si>
</sst>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</font>
    <font>
      <i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u/>
      <color rgb="FF1155CC"/>
    </font>
    <font>
      <b/>
      <sz val="11.0"/>
      <color theme="1"/>
      <name val="Arial"/>
    </font>
    <font>
      <b/>
      <sz val="14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right" shrinkToFit="0" vertical="center" wrapText="1"/>
    </xf>
    <xf borderId="3" fillId="3" fontId="1" numFmtId="0" xfId="0" applyAlignment="1" applyBorder="1" applyFill="1" applyFont="1">
      <alignment horizontal="left" vertical="center"/>
    </xf>
    <xf borderId="3" fillId="3" fontId="1" numFmtId="1" xfId="0" applyAlignment="1" applyBorder="1" applyFont="1" applyNumberFormat="1">
      <alignment horizontal="left" vertical="center"/>
    </xf>
    <xf borderId="1" fillId="3" fontId="3" numFmtId="0" xfId="0" applyAlignment="1" applyBorder="1" applyFont="1">
      <alignment vertical="center"/>
    </xf>
    <xf borderId="2" fillId="3" fontId="3" numFmtId="0" xfId="0" applyAlignment="1" applyBorder="1" applyFont="1">
      <alignment vertical="center"/>
    </xf>
    <xf borderId="3" fillId="3" fontId="4" numFmtId="1" xfId="0" applyAlignment="1" applyBorder="1" applyFont="1" applyNumberFormat="1">
      <alignment horizontal="left" shrinkToFit="0" vertical="top" wrapText="1"/>
    </xf>
    <xf borderId="1" fillId="3" fontId="4" numFmtId="1" xfId="0" applyAlignment="1" applyBorder="1" applyFont="1" applyNumberFormat="1">
      <alignment horizontal="right" shrinkToFit="0" vertical="center" wrapText="1"/>
    </xf>
    <xf borderId="4" fillId="0" fontId="5" numFmtId="0" xfId="0" applyBorder="1" applyFont="1"/>
    <xf borderId="1" fillId="4" fontId="1" numFmtId="1" xfId="0" applyAlignment="1" applyBorder="1" applyFill="1" applyFont="1" applyNumberFormat="1">
      <alignment horizontal="left" vertical="center"/>
    </xf>
    <xf borderId="2" fillId="4" fontId="1" numFmtId="1" xfId="0" applyAlignment="1" applyBorder="1" applyFont="1" applyNumberFormat="1">
      <alignment horizontal="left" vertical="center"/>
    </xf>
    <xf borderId="1" fillId="4" fontId="4" numFmtId="1" xfId="0" applyAlignment="1" applyBorder="1" applyFont="1" applyNumberFormat="1">
      <alignment horizontal="right" shrinkToFit="0" vertical="center" wrapText="1"/>
    </xf>
    <xf borderId="1" fillId="3" fontId="1" numFmtId="0" xfId="0" applyAlignment="1" applyBorder="1" applyFont="1">
      <alignment horizontal="left" vertical="center"/>
    </xf>
    <xf borderId="1" fillId="5" fontId="1" numFmtId="1" xfId="0" applyBorder="1" applyFill="1" applyFont="1" applyNumberFormat="1"/>
    <xf borderId="0" fillId="3" fontId="1" numFmtId="1" xfId="0" applyFont="1" applyNumberFormat="1"/>
    <xf borderId="1" fillId="3" fontId="4" numFmtId="1" xfId="0" applyAlignment="1" applyBorder="1" applyFont="1" applyNumberFormat="1">
      <alignment horizontal="left" shrinkToFit="0" vertical="top" wrapText="1"/>
    </xf>
    <xf borderId="1" fillId="4" fontId="1" numFmtId="0" xfId="0" applyAlignment="1" applyBorder="1" applyFont="1">
      <alignment horizontal="left" vertical="center"/>
    </xf>
    <xf borderId="4" fillId="5" fontId="1" numFmtId="1" xfId="0" applyBorder="1" applyFont="1" applyNumberFormat="1"/>
    <xf borderId="0" fillId="4" fontId="1" numFmtId="1" xfId="0" applyFont="1" applyNumberFormat="1"/>
    <xf borderId="1" fillId="4" fontId="4" numFmtId="1" xfId="0" applyAlignment="1" applyBorder="1" applyFont="1" applyNumberFormat="1">
      <alignment horizontal="left" shrinkToFit="0" vertical="top" wrapText="1"/>
    </xf>
    <xf borderId="1" fillId="3" fontId="1" numFmtId="1" xfId="0" applyAlignment="1" applyBorder="1" applyFont="1" applyNumberFormat="1">
      <alignment horizontal="left" vertical="center"/>
    </xf>
    <xf borderId="4" fillId="4" fontId="1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1" numFmtId="1" xfId="0" applyBorder="1" applyFill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vertical="center"/>
    </xf>
    <xf borderId="5" fillId="4" fontId="1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1" numFmtId="1" xfId="0" applyAlignment="1" applyBorder="1" applyFont="1" applyNumberFormat="1">
      <alignment horizontal="left" shrinkToFit="0" vertical="center" wrapText="1"/>
    </xf>
    <xf borderId="6" fillId="3" fontId="6" numFmtId="0" xfId="0" applyAlignment="1" applyBorder="1" applyFont="1">
      <alignment horizontal="left" vertical="center"/>
    </xf>
    <xf borderId="6" fillId="3" fontId="7" numFmtId="0" xfId="0" applyAlignment="1" applyBorder="1" applyFont="1">
      <alignment horizontal="left" vertical="center"/>
    </xf>
    <xf borderId="5" fillId="6" fontId="6" numFmtId="1" xfId="0" applyBorder="1" applyFont="1" applyNumberFormat="1"/>
    <xf borderId="7" fillId="3" fontId="6" numFmtId="1" xfId="0" applyBorder="1" applyFont="1" applyNumberFormat="1"/>
    <xf borderId="0" fillId="4" fontId="3" numFmtId="0" xfId="0" applyAlignment="1" applyFont="1">
      <alignment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3" numFmtId="0" xfId="0" applyAlignment="1" applyFont="1">
      <alignment vertical="center"/>
    </xf>
    <xf borderId="0" fillId="3" fontId="8" numFmtId="0" xfId="0" applyFont="1"/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vertical="center"/>
    </xf>
    <xf borderId="9" fillId="3" fontId="1" numFmtId="0" xfId="0" applyAlignment="1" applyBorder="1" applyFont="1">
      <alignment horizontal="left" vertical="center"/>
    </xf>
    <xf borderId="10" fillId="3" fontId="4" numFmtId="1" xfId="0" applyAlignment="1" applyBorder="1" applyFont="1" applyNumberFormat="1">
      <alignment horizontal="left" vertical="center"/>
    </xf>
    <xf borderId="11" fillId="0" fontId="5" numFmtId="0" xfId="0" applyBorder="1" applyFont="1"/>
    <xf borderId="12" fillId="0" fontId="5" numFmtId="0" xfId="0" applyBorder="1" applyFont="1"/>
    <xf borderId="10" fillId="3" fontId="9" numFmtId="1" xfId="0" applyAlignment="1" applyBorder="1" applyFont="1" applyNumberFormat="1">
      <alignment horizontal="left" vertical="center"/>
    </xf>
    <xf borderId="13" fillId="0" fontId="5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0" fontId="5" numFmtId="0" xfId="0" applyBorder="1" applyFont="1"/>
    <xf borderId="1" fillId="7" fontId="4" numFmtId="1" xfId="0" applyAlignment="1" applyBorder="1" applyFill="1" applyFont="1" applyNumberFormat="1">
      <alignment horizontal="left" vertical="center"/>
    </xf>
    <xf borderId="1" fillId="4" fontId="4" numFmtId="1" xfId="0" applyAlignment="1" applyBorder="1" applyFont="1" applyNumberFormat="1">
      <alignment horizontal="left" vertical="center"/>
    </xf>
    <xf borderId="1" fillId="4" fontId="9" numFmtId="1" xfId="0" applyAlignment="1" applyBorder="1" applyFont="1" applyNumberFormat="1">
      <alignment horizontal="left" vertical="center"/>
    </xf>
    <xf borderId="15" fillId="4" fontId="9" numFmtId="0" xfId="0" applyAlignment="1" applyBorder="1" applyFont="1">
      <alignment horizontal="left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" fillId="3" fontId="4" numFmtId="1" xfId="0" applyAlignment="1" applyBorder="1" applyFont="1" applyNumberFormat="1">
      <alignment horizontal="left" vertical="center"/>
    </xf>
    <xf borderId="1" fillId="3" fontId="9" numFmtId="1" xfId="0" applyAlignment="1" applyBorder="1" applyFont="1" applyNumberFormat="1">
      <alignment horizontal="left" vertical="center"/>
    </xf>
    <xf borderId="15" fillId="3" fontId="9" numFmtId="0" xfId="0" applyAlignment="1" applyBorder="1" applyFont="1">
      <alignment horizontal="left" vertical="center"/>
    </xf>
    <xf borderId="1" fillId="8" fontId="4" numFmtId="1" xfId="0" applyAlignment="1" applyBorder="1" applyFill="1" applyFont="1" applyNumberFormat="1">
      <alignment horizontal="left" vertical="center"/>
    </xf>
    <xf borderId="15" fillId="3" fontId="9" numFmtId="1" xfId="0" applyAlignment="1" applyBorder="1" applyFont="1" applyNumberFormat="1">
      <alignment horizontal="left" vertical="center"/>
    </xf>
    <xf borderId="15" fillId="4" fontId="9" numFmtId="1" xfId="0" applyAlignment="1" applyBorder="1" applyFont="1" applyNumberFormat="1">
      <alignment horizontal="left" vertical="center"/>
    </xf>
    <xf borderId="16" fillId="0" fontId="5" numFmtId="0" xfId="0" applyBorder="1" applyFont="1"/>
    <xf borderId="17" fillId="3" fontId="1" numFmtId="0" xfId="0" applyAlignment="1" applyBorder="1" applyFont="1">
      <alignment horizontal="left" vertical="center"/>
    </xf>
    <xf borderId="17" fillId="8" fontId="4" numFmtId="1" xfId="0" applyAlignment="1" applyBorder="1" applyFont="1" applyNumberFormat="1">
      <alignment horizontal="left" vertical="center"/>
    </xf>
    <xf borderId="17" fillId="3" fontId="4" numFmtId="1" xfId="0" applyAlignment="1" applyBorder="1" applyFont="1" applyNumberFormat="1">
      <alignment horizontal="left" vertical="center"/>
    </xf>
    <xf borderId="17" fillId="3" fontId="9" numFmtId="1" xfId="0" applyAlignment="1" applyBorder="1" applyFont="1" applyNumberFormat="1">
      <alignment horizontal="left" vertical="center"/>
    </xf>
    <xf borderId="18" fillId="3" fontId="9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vertical="center"/>
    </xf>
    <xf borderId="9" fillId="4" fontId="1" numFmtId="0" xfId="0" applyAlignment="1" applyBorder="1" applyFont="1">
      <alignment horizontal="left" vertical="center"/>
    </xf>
    <xf borderId="9" fillId="7" fontId="4" numFmtId="1" xfId="0" applyAlignment="1" applyBorder="1" applyFont="1" applyNumberFormat="1">
      <alignment vertical="center"/>
    </xf>
    <xf borderId="9" fillId="4" fontId="4" numFmtId="0" xfId="0" applyAlignment="1" applyBorder="1" applyFont="1">
      <alignment vertical="center"/>
    </xf>
    <xf borderId="9" fillId="4" fontId="4" numFmtId="1" xfId="0" applyAlignment="1" applyBorder="1" applyFont="1" applyNumberFormat="1">
      <alignment horizontal="left" vertical="center"/>
    </xf>
    <xf borderId="9" fillId="4" fontId="9" numFmtId="1" xfId="0" applyAlignment="1" applyBorder="1" applyFont="1" applyNumberFormat="1">
      <alignment horizontal="left" vertical="center"/>
    </xf>
    <xf borderId="9" fillId="4" fontId="9" numFmtId="0" xfId="0" applyAlignment="1" applyBorder="1" applyFont="1">
      <alignment vertical="center"/>
    </xf>
    <xf borderId="20" fillId="4" fontId="9" numFmtId="0" xfId="0" applyAlignment="1" applyBorder="1" applyFont="1">
      <alignment horizontal="left" vertical="center"/>
    </xf>
    <xf borderId="1" fillId="7" fontId="4" numFmtId="1" xfId="0" applyAlignment="1" applyBorder="1" applyFont="1" applyNumberFormat="1">
      <alignment vertical="center"/>
    </xf>
    <xf borderId="1" fillId="3" fontId="4" numFmtId="1" xfId="0" applyAlignment="1" applyBorder="1" applyFont="1" applyNumberFormat="1">
      <alignment vertical="center"/>
    </xf>
    <xf borderId="1" fillId="3" fontId="9" numFmtId="1" xfId="0" applyAlignment="1" applyBorder="1" applyFont="1" applyNumberFormat="1">
      <alignment vertical="center"/>
    </xf>
    <xf borderId="1" fillId="4" fontId="4" numFmtId="1" xfId="0" applyAlignment="1" applyBorder="1" applyFont="1" applyNumberFormat="1">
      <alignment vertical="center"/>
    </xf>
    <xf borderId="1" fillId="4" fontId="9" numFmtId="1" xfId="0" applyAlignment="1" applyBorder="1" applyFont="1" applyNumberFormat="1">
      <alignment vertical="center"/>
    </xf>
    <xf borderId="1" fillId="8" fontId="4" numFmtId="1" xfId="0" applyAlignment="1" applyBorder="1" applyFont="1" applyNumberFormat="1">
      <alignment vertical="center"/>
    </xf>
    <xf borderId="17" fillId="8" fontId="4" numFmtId="1" xfId="0" applyAlignment="1" applyBorder="1" applyFont="1" applyNumberFormat="1">
      <alignment vertical="center"/>
    </xf>
    <xf borderId="17" fillId="3" fontId="4" numFmtId="1" xfId="0" applyAlignment="1" applyBorder="1" applyFont="1" applyNumberFormat="1">
      <alignment vertical="center"/>
    </xf>
    <xf borderId="17" fillId="3" fontId="9" numFmtId="1" xfId="0" applyAlignment="1" applyBorder="1" applyFont="1" applyNumberFormat="1">
      <alignment vertical="center"/>
    </xf>
    <xf borderId="18" fillId="3" fontId="9" numFmtId="0" xfId="0" applyAlignment="1" applyBorder="1" applyFont="1">
      <alignment horizontal="left" vertical="center"/>
    </xf>
    <xf borderId="9" fillId="4" fontId="4" numFmtId="1" xfId="0" applyAlignment="1" applyBorder="1" applyFont="1" applyNumberFormat="1">
      <alignment vertical="center"/>
    </xf>
    <xf borderId="9" fillId="4" fontId="9" numFmtId="1" xfId="0" applyAlignment="1" applyBorder="1" applyFont="1" applyNumberFormat="1">
      <alignment vertical="center"/>
    </xf>
    <xf borderId="0" fillId="2" fontId="1" numFmtId="0" xfId="0" applyFont="1"/>
    <xf borderId="21" fillId="2" fontId="1" numFmtId="0" xfId="0" applyBorder="1" applyFont="1"/>
    <xf borderId="0" fillId="2" fontId="1" numFmtId="0" xfId="0" applyAlignment="1" applyFont="1">
      <alignment vertical="bottom"/>
    </xf>
    <xf borderId="22" fillId="2" fontId="2" numFmtId="0" xfId="0" applyAlignment="1" applyBorder="1" applyFont="1">
      <alignment shrinkToFit="0" vertical="top" wrapText="1"/>
    </xf>
    <xf borderId="0" fillId="2" fontId="2" numFmtId="0" xfId="0" applyAlignment="1" applyFont="1">
      <alignment shrinkToFit="0" vertical="top" wrapText="1"/>
    </xf>
    <xf borderId="0" fillId="3" fontId="1" numFmtId="0" xfId="0" applyAlignment="1" applyFont="1">
      <alignment horizontal="right" shrinkToFit="0" wrapText="1"/>
    </xf>
    <xf borderId="3" fillId="3" fontId="1" numFmtId="0" xfId="0" applyAlignment="1" applyBorder="1" applyFont="1">
      <alignment shrinkToFit="0" wrapText="1"/>
    </xf>
    <xf borderId="23" fillId="3" fontId="1" numFmtId="1" xfId="0" applyAlignment="1" applyBorder="1" applyFont="1" applyNumberFormat="1">
      <alignment horizontal="left" shrinkToFit="0" vertical="bottom" wrapText="1"/>
    </xf>
    <xf borderId="2" fillId="3" fontId="1" numFmtId="0" xfId="0" applyAlignment="1" applyBorder="1" applyFont="1">
      <alignment shrinkToFit="0" vertical="bottom" wrapText="1"/>
    </xf>
    <xf borderId="24" fillId="3" fontId="4" numFmtId="1" xfId="0" applyAlignment="1" applyBorder="1" applyFont="1" applyNumberFormat="1">
      <alignment readingOrder="0" shrinkToFit="0" vertical="top" wrapText="1"/>
    </xf>
    <xf borderId="0" fillId="3" fontId="4" numFmtId="1" xfId="0" applyAlignment="1" applyFont="1" applyNumberFormat="1">
      <alignment shrinkToFit="0" vertical="top" wrapText="1"/>
    </xf>
    <xf borderId="25" fillId="0" fontId="5" numFmtId="0" xfId="0" applyBorder="1" applyFont="1"/>
    <xf borderId="26" fillId="4" fontId="1" numFmtId="1" xfId="0" applyAlignment="1" applyBorder="1" applyFont="1" applyNumberFormat="1">
      <alignment horizontal="right" readingOrder="0" shrinkToFit="0" vertical="bottom" wrapText="1"/>
    </xf>
    <xf borderId="26" fillId="4" fontId="1" numFmtId="1" xfId="0" applyAlignment="1" applyBorder="1" applyFont="1" applyNumberFormat="1">
      <alignment horizontal="right" shrinkToFit="0" vertical="bottom" wrapText="1"/>
    </xf>
    <xf borderId="27" fillId="0" fontId="5" numFmtId="0" xfId="0" applyBorder="1" applyFont="1"/>
    <xf borderId="0" fillId="4" fontId="4" numFmtId="1" xfId="0" applyAlignment="1" applyFont="1" applyNumberFormat="1">
      <alignment shrinkToFit="0" vertical="top" wrapText="1"/>
    </xf>
    <xf borderId="25" fillId="3" fontId="1" numFmtId="0" xfId="0" applyAlignment="1" applyBorder="1" applyFont="1">
      <alignment horizontal="left" shrinkToFit="0" wrapText="1"/>
    </xf>
    <xf borderId="25" fillId="3" fontId="1" numFmtId="1" xfId="0" applyAlignment="1" applyBorder="1" applyFont="1" applyNumberFormat="1">
      <alignment horizontal="left" readingOrder="0" shrinkToFit="0" vertical="bottom" wrapText="1"/>
    </xf>
    <xf borderId="25" fillId="9" fontId="1" numFmtId="1" xfId="0" applyAlignment="1" applyBorder="1" applyFill="1" applyFont="1" applyNumberFormat="1">
      <alignment horizontal="left" shrinkToFit="0" vertical="bottom" wrapText="1"/>
    </xf>
    <xf borderId="0" fillId="9" fontId="1" numFmtId="0" xfId="0" applyFont="1"/>
    <xf borderId="0" fillId="9" fontId="4" numFmtId="1" xfId="0" applyAlignment="1" applyFont="1" applyNumberFormat="1">
      <alignment horizontal="left" shrinkToFit="0" vertical="top" wrapText="1"/>
    </xf>
    <xf borderId="27" fillId="3" fontId="4" numFmtId="1" xfId="0" applyAlignment="1" applyBorder="1" applyFont="1" applyNumberFormat="1">
      <alignment horizontal="left" shrinkToFit="0" vertical="top" wrapText="1"/>
    </xf>
    <xf borderId="0" fillId="3" fontId="4" numFmtId="1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right" shrinkToFit="0" wrapText="1"/>
    </xf>
    <xf borderId="25" fillId="4" fontId="1" numFmtId="0" xfId="0" applyAlignment="1" applyBorder="1" applyFont="1">
      <alignment horizontal="left" shrinkToFit="0" wrapText="1"/>
    </xf>
    <xf borderId="25" fillId="4" fontId="1" numFmtId="1" xfId="0" applyAlignment="1" applyBorder="1" applyFont="1" applyNumberFormat="1">
      <alignment horizontal="left" readingOrder="0" shrinkToFit="0" vertical="bottom" wrapText="1"/>
    </xf>
    <xf borderId="28" fillId="4" fontId="4" numFmtId="1" xfId="0" applyAlignment="1" applyBorder="1" applyFont="1" applyNumberFormat="1">
      <alignment horizontal="left" shrinkToFit="0" vertical="top" wrapText="1"/>
    </xf>
    <xf borderId="0" fillId="4" fontId="4" numFmtId="1" xfId="0" applyAlignment="1" applyFont="1" applyNumberFormat="1">
      <alignment horizontal="left" shrinkToFit="0" vertical="top" wrapText="1"/>
    </xf>
    <xf borderId="28" fillId="3" fontId="4" numFmtId="1" xfId="0" applyAlignment="1" applyBorder="1" applyFont="1" applyNumberFormat="1">
      <alignment horizontal="left" shrinkToFit="0" vertical="top" wrapText="1"/>
    </xf>
    <xf borderId="29" fillId="4" fontId="1" numFmtId="0" xfId="0" applyAlignment="1" applyBorder="1" applyFont="1">
      <alignment horizontal="left" shrinkToFit="0" wrapText="1"/>
    </xf>
    <xf borderId="29" fillId="4" fontId="1" numFmtId="1" xfId="0" applyAlignment="1" applyBorder="1" applyFont="1" applyNumberFormat="1">
      <alignment horizontal="left" readingOrder="0" shrinkToFit="0" vertical="bottom" wrapText="1"/>
    </xf>
    <xf borderId="29" fillId="9" fontId="1" numFmtId="1" xfId="0" applyAlignment="1" applyBorder="1" applyFont="1" applyNumberFormat="1">
      <alignment horizontal="left" shrinkToFit="0" vertical="bottom" wrapText="1"/>
    </xf>
    <xf borderId="28" fillId="4" fontId="4" numFmtId="1" xfId="0" applyAlignment="1" applyBorder="1" applyFont="1" applyNumberFormat="1">
      <alignment horizontal="left" readingOrder="0" shrinkToFit="0" vertical="top" wrapText="1"/>
    </xf>
    <xf borderId="29" fillId="3" fontId="1" numFmtId="0" xfId="0" applyAlignment="1" applyBorder="1" applyFont="1">
      <alignment horizontal="left" shrinkToFit="0" wrapText="1"/>
    </xf>
    <xf borderId="29" fillId="3" fontId="1" numFmtId="1" xfId="0" applyAlignment="1" applyBorder="1" applyFont="1" applyNumberFormat="1">
      <alignment horizontal="left" readingOrder="0" shrinkToFit="0" vertical="bottom" wrapText="1"/>
    </xf>
    <xf borderId="28" fillId="3" fontId="4" numFmtId="1" xfId="0" applyAlignment="1" applyBorder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shrinkToFit="0" wrapText="1"/>
    </xf>
    <xf borderId="4" fillId="4" fontId="1" numFmtId="1" xfId="0" applyAlignment="1" applyBorder="1" applyFont="1" applyNumberFormat="1">
      <alignment horizontal="left" readingOrder="0" shrinkToFit="0" vertical="bottom" wrapText="1"/>
    </xf>
    <xf borderId="29" fillId="3" fontId="1" numFmtId="1" xfId="0" applyAlignment="1" applyBorder="1" applyFont="1" applyNumberFormat="1">
      <alignment horizontal="left" shrinkToFit="0" vertical="bottom" wrapText="1"/>
    </xf>
    <xf borderId="23" fillId="4" fontId="1" numFmtId="1" xfId="0" applyAlignment="1" applyBorder="1" applyFont="1" applyNumberFormat="1">
      <alignment horizontal="left" readingOrder="0" shrinkToFit="0" vertical="bottom" wrapText="1"/>
    </xf>
    <xf borderId="23" fillId="9" fontId="1" numFmtId="1" xfId="0" applyAlignment="1" applyBorder="1" applyFont="1" applyNumberFormat="1">
      <alignment horizontal="left" shrinkToFit="0" vertical="bottom" wrapText="1"/>
    </xf>
    <xf borderId="1" fillId="6" fontId="1" numFmtId="1" xfId="0" applyAlignment="1" applyBorder="1" applyFont="1" applyNumberFormat="1">
      <alignment shrinkToFit="0" vertical="bottom" wrapText="1"/>
    </xf>
    <xf borderId="30" fillId="3" fontId="1" numFmtId="1" xfId="0" applyAlignment="1" applyBorder="1" applyFont="1" applyNumberFormat="1">
      <alignment horizontal="left" shrinkToFit="0" vertical="bottom" wrapText="1"/>
    </xf>
    <xf borderId="31" fillId="9" fontId="1" numFmtId="1" xfId="0" applyAlignment="1" applyBorder="1" applyFont="1" applyNumberFormat="1">
      <alignment horizontal="left" shrinkToFit="0" vertical="bottom" wrapText="1"/>
    </xf>
    <xf borderId="30" fillId="4" fontId="1" numFmtId="1" xfId="0" applyAlignment="1" applyBorder="1" applyFont="1" applyNumberFormat="1">
      <alignment horizontal="left" shrinkToFit="0" vertical="bottom" wrapText="1"/>
    </xf>
    <xf borderId="4" fillId="6" fontId="1" numFmtId="1" xfId="0" applyAlignment="1" applyBorder="1" applyFont="1" applyNumberFormat="1">
      <alignment shrinkToFit="0" vertical="bottom" wrapText="1"/>
    </xf>
    <xf borderId="32" fillId="9" fontId="1" numFmtId="1" xfId="0" applyAlignment="1" applyBorder="1" applyFont="1" applyNumberFormat="1">
      <alignment horizontal="left" shrinkToFit="0" vertical="bottom" wrapText="1"/>
    </xf>
    <xf borderId="32" fillId="3" fontId="1" numFmtId="0" xfId="0" applyAlignment="1" applyBorder="1" applyFont="1">
      <alignment horizontal="left" shrinkToFit="0" wrapText="1"/>
    </xf>
    <xf borderId="25" fillId="3" fontId="1" numFmtId="1" xfId="0" applyAlignment="1" applyBorder="1" applyFont="1" applyNumberFormat="1">
      <alignment horizontal="left" shrinkToFit="0" vertical="bottom" wrapText="1"/>
    </xf>
    <xf borderId="0" fillId="4" fontId="1" numFmtId="0" xfId="0" applyAlignment="1" applyFont="1">
      <alignment shrinkToFit="0" wrapText="1"/>
    </xf>
    <xf borderId="33" fillId="4" fontId="1" numFmtId="1" xfId="0" applyAlignment="1" applyBorder="1" applyFont="1" applyNumberFormat="1">
      <alignment readingOrder="0" shrinkToFit="0" vertical="bottom" wrapText="1"/>
    </xf>
    <xf borderId="25" fillId="4" fontId="1" numFmtId="1" xfId="0" applyAlignment="1" applyBorder="1" applyFont="1" applyNumberFormat="1">
      <alignment readingOrder="0" shrinkToFit="0" vertical="bottom" wrapText="1"/>
    </xf>
    <xf borderId="32" fillId="4" fontId="1" numFmtId="1" xfId="0" applyAlignment="1" applyBorder="1" applyFont="1" applyNumberFormat="1">
      <alignment readingOrder="0" shrinkToFit="0" vertical="bottom" wrapText="1"/>
    </xf>
    <xf borderId="32" fillId="4" fontId="1" numFmtId="1" xfId="0" applyAlignment="1" applyBorder="1" applyFont="1" applyNumberFormat="1">
      <alignment shrinkToFit="0" vertical="bottom" wrapText="1"/>
    </xf>
    <xf borderId="0" fillId="9" fontId="4" numFmtId="1" xfId="0" applyAlignment="1" applyFont="1" applyNumberFormat="1">
      <alignment shrinkToFit="0" vertical="top" wrapText="1"/>
    </xf>
    <xf borderId="28" fillId="4" fontId="4" numFmtId="1" xfId="0" applyAlignment="1" applyBorder="1" applyFont="1" applyNumberFormat="1">
      <alignment shrinkToFit="0" vertical="top" wrapText="1"/>
    </xf>
    <xf borderId="0" fillId="3" fontId="1" numFmtId="0" xfId="0" applyAlignment="1" applyFont="1">
      <alignment shrinkToFit="0" wrapText="1"/>
    </xf>
    <xf borderId="0" fillId="3" fontId="3" numFmtId="0" xfId="0" applyAlignment="1" applyFont="1">
      <alignment shrinkToFit="0" wrapText="1"/>
    </xf>
    <xf borderId="34" fillId="3" fontId="1" numFmtId="0" xfId="0" applyAlignment="1" applyBorder="1" applyFont="1">
      <alignment horizontal="right" shrinkToFit="0" wrapText="1"/>
    </xf>
    <xf borderId="35" fillId="9" fontId="1" numFmtId="1" xfId="0" applyAlignment="1" applyBorder="1" applyFont="1" applyNumberFormat="1">
      <alignment shrinkToFit="0" vertical="bottom" wrapText="1"/>
    </xf>
    <xf borderId="24" fillId="3" fontId="4" numFmtId="1" xfId="0" applyAlignment="1" applyBorder="1" applyFont="1" applyNumberFormat="1">
      <alignment shrinkToFit="0" vertical="top" wrapText="1"/>
    </xf>
    <xf borderId="0" fillId="10" fontId="1" numFmtId="0" xfId="0" applyAlignment="1" applyFill="1" applyFont="1">
      <alignment horizontal="right" vertical="center"/>
    </xf>
    <xf borderId="0" fillId="10" fontId="1" numFmtId="0" xfId="0" applyAlignment="1" applyFont="1">
      <alignment vertical="center"/>
    </xf>
    <xf borderId="2" fillId="10" fontId="1" numFmtId="1" xfId="0" applyAlignment="1" applyBorder="1" applyFont="1" applyNumberFormat="1">
      <alignment shrinkToFit="0" vertical="bottom" wrapText="1"/>
    </xf>
    <xf borderId="36" fillId="0" fontId="5" numFmtId="0" xfId="0" applyBorder="1" applyFont="1"/>
    <xf borderId="37" fillId="0" fontId="5" numFmtId="0" xfId="0" applyBorder="1" applyFont="1"/>
    <xf borderId="37" fillId="10" fontId="1" numFmtId="1" xfId="0" applyAlignment="1" applyBorder="1" applyFont="1" applyNumberFormat="1">
      <alignment shrinkToFit="0" vertical="bottom" wrapText="1"/>
    </xf>
    <xf borderId="0" fillId="10" fontId="10" numFmtId="0" xfId="0" applyFont="1"/>
    <xf borderId="0" fillId="10" fontId="10" numFmtId="0" xfId="0" applyAlignment="1" applyFont="1">
      <alignment readingOrder="0"/>
    </xf>
    <xf borderId="0" fillId="10" fontId="1" numFmtId="0" xfId="0" applyFont="1"/>
    <xf borderId="38" fillId="10" fontId="4" numFmtId="1" xfId="0" applyAlignment="1" applyBorder="1" applyFont="1" applyNumberFormat="1">
      <alignment shrinkToFit="0" vertical="top" wrapText="1"/>
    </xf>
    <xf borderId="39" fillId="0" fontId="5" numFmtId="0" xfId="0" applyBorder="1" applyFont="1"/>
    <xf borderId="40" fillId="0" fontId="5" numFmtId="0" xfId="0" applyBorder="1" applyFont="1"/>
    <xf borderId="40" fillId="10" fontId="4" numFmtId="1" xfId="0" applyAlignment="1" applyBorder="1" applyFont="1" applyNumberFormat="1">
      <alignment shrinkToFit="0" vertical="top" wrapText="1"/>
    </xf>
    <xf borderId="41" fillId="10" fontId="4" numFmtId="1" xfId="0" applyAlignment="1" applyBorder="1" applyFont="1" applyNumberFormat="1">
      <alignment shrinkToFit="0" vertical="top" wrapText="1"/>
    </xf>
    <xf borderId="0" fillId="3" fontId="1" numFmtId="0" xfId="0" applyFont="1"/>
    <xf borderId="0" fillId="3" fontId="3" numFmtId="0" xfId="0" applyFont="1"/>
    <xf borderId="0" fillId="3" fontId="1" numFmtId="0" xfId="0" applyAlignment="1" applyFont="1">
      <alignment horizontal="right"/>
    </xf>
    <xf borderId="0" fillId="9" fontId="1" numFmtId="1" xfId="0" applyAlignment="1" applyFont="1" applyNumberFormat="1">
      <alignment vertical="bottom"/>
    </xf>
    <xf borderId="0" fillId="3" fontId="7" numFmtId="0" xfId="0" applyAlignment="1" applyFont="1">
      <alignment shrinkToFit="0" vertical="bottom" wrapText="0"/>
    </xf>
    <xf borderId="0" fillId="3" fontId="1" numFmtId="0" xfId="0" applyAlignment="1" applyFont="1">
      <alignment vertical="bottom"/>
    </xf>
    <xf borderId="0" fillId="3" fontId="1" numFmtId="1" xfId="0" applyAlignment="1" applyFont="1" applyNumberFormat="1">
      <alignment vertical="bottom"/>
    </xf>
    <xf borderId="0" fillId="4" fontId="6" numFmtId="0" xfId="0" applyAlignment="1" applyFont="1">
      <alignment shrinkToFit="0" vertical="bottom" wrapText="0"/>
    </xf>
    <xf borderId="0" fillId="4" fontId="1" numFmtId="0" xfId="0" applyAlignment="1" applyFont="1">
      <alignment vertical="bottom"/>
    </xf>
    <xf borderId="0" fillId="4" fontId="1" numFmtId="1" xfId="0" applyAlignment="1" applyFont="1" applyNumberFormat="1">
      <alignment vertical="bottom"/>
    </xf>
    <xf borderId="0" fillId="3" fontId="6" numFmtId="0" xfId="0" applyAlignment="1" applyFont="1">
      <alignment shrinkToFit="0" vertical="bottom" wrapText="0"/>
    </xf>
    <xf borderId="0" fillId="3" fontId="6" numFmtId="0" xfId="0" applyAlignment="1" applyFont="1">
      <alignment vertical="bottom"/>
    </xf>
    <xf borderId="2" fillId="2" fontId="1" numFmtId="0" xfId="0" applyBorder="1" applyFont="1"/>
    <xf borderId="25" fillId="3" fontId="1" numFmtId="0" xfId="0" applyAlignment="1" applyBorder="1" applyFont="1">
      <alignment shrinkToFit="0" wrapText="1"/>
    </xf>
    <xf borderId="25" fillId="9" fontId="1" numFmtId="1" xfId="0" applyAlignment="1" applyBorder="1" applyFont="1" applyNumberFormat="1">
      <alignment shrinkToFit="0" vertical="bottom" wrapText="1"/>
    </xf>
    <xf borderId="42" fillId="9" fontId="1" numFmtId="1" xfId="0" applyAlignment="1" applyBorder="1" applyFont="1" applyNumberFormat="1">
      <alignment shrinkToFit="0" vertical="bottom" wrapText="1"/>
    </xf>
    <xf borderId="28" fillId="3" fontId="4" numFmtId="1" xfId="0" applyAlignment="1" applyBorder="1" applyFont="1" applyNumberFormat="1">
      <alignment shrinkToFit="0" vertical="top" wrapText="1"/>
    </xf>
    <xf borderId="25" fillId="4" fontId="1" numFmtId="0" xfId="0" applyAlignment="1" applyBorder="1" applyFont="1">
      <alignment shrinkToFit="0" wrapText="1"/>
    </xf>
    <xf borderId="25" fillId="4" fontId="1" numFmtId="1" xfId="0" applyAlignment="1" applyBorder="1" applyFont="1" applyNumberFormat="1">
      <alignment horizontal="left" shrinkToFit="0" vertical="bottom" wrapText="1"/>
    </xf>
    <xf borderId="29" fillId="4" fontId="1" numFmtId="0" xfId="0" applyAlignment="1" applyBorder="1" applyFont="1">
      <alignment shrinkToFit="0" wrapText="1"/>
    </xf>
    <xf borderId="29" fillId="9" fontId="1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shrinkToFit="0" wrapText="1"/>
    </xf>
    <xf borderId="29" fillId="4" fontId="1" numFmtId="1" xfId="0" applyAlignment="1" applyBorder="1" applyFont="1" applyNumberFormat="1">
      <alignment horizontal="left" shrinkToFit="0" vertical="bottom" wrapText="1"/>
    </xf>
    <xf borderId="4" fillId="4" fontId="1" numFmtId="0" xfId="0" applyAlignment="1" applyBorder="1" applyFont="1">
      <alignment shrinkToFit="0" wrapText="1"/>
    </xf>
    <xf borderId="4" fillId="4" fontId="1" numFmtId="1" xfId="0" applyAlignment="1" applyBorder="1" applyFont="1" applyNumberFormat="1">
      <alignment horizontal="left" shrinkToFit="0" vertical="bottom" wrapText="1"/>
    </xf>
    <xf borderId="29" fillId="3" fontId="1" numFmtId="1" xfId="0" applyAlignment="1" applyBorder="1" applyFont="1" applyNumberFormat="1">
      <alignment horizontal="right" shrinkToFit="0" vertical="bottom" wrapText="1"/>
    </xf>
    <xf borderId="23" fillId="4" fontId="1" numFmtId="1" xfId="0" applyAlignment="1" applyBorder="1" applyFont="1" applyNumberFormat="1">
      <alignment readingOrder="0" shrinkToFit="0" vertical="bottom" wrapText="1"/>
    </xf>
    <xf borderId="23" fillId="9" fontId="1" numFmtId="1" xfId="0" applyAlignment="1" applyBorder="1" applyFont="1" applyNumberFormat="1">
      <alignment shrinkToFit="0" vertical="bottom" wrapText="1"/>
    </xf>
    <xf borderId="43" fillId="3" fontId="1" numFmtId="1" xfId="0" applyAlignment="1" applyBorder="1" applyFont="1" applyNumberFormat="1">
      <alignment shrinkToFit="0" vertical="bottom" wrapText="1"/>
    </xf>
    <xf borderId="30" fillId="3" fontId="1" numFmtId="1" xfId="0" applyAlignment="1" applyBorder="1" applyFont="1" applyNumberFormat="1">
      <alignment shrinkToFit="0" vertical="bottom" wrapText="1"/>
    </xf>
    <xf borderId="31" fillId="9" fontId="1" numFmtId="1" xfId="0" applyAlignment="1" applyBorder="1" applyFont="1" applyNumberFormat="1">
      <alignment shrinkToFit="0" vertical="bottom" wrapText="1"/>
    </xf>
    <xf borderId="43" fillId="4" fontId="1" numFmtId="1" xfId="0" applyAlignment="1" applyBorder="1" applyFont="1" applyNumberFormat="1">
      <alignment shrinkToFit="0" vertical="bottom" wrapText="1"/>
    </xf>
    <xf borderId="30" fillId="4" fontId="1" numFmtId="1" xfId="0" applyAlignment="1" applyBorder="1" applyFont="1" applyNumberFormat="1">
      <alignment shrinkToFit="0" vertical="bottom" wrapText="1"/>
    </xf>
    <xf borderId="32" fillId="9" fontId="1" numFmtId="1" xfId="0" applyAlignment="1" applyBorder="1" applyFont="1" applyNumberFormat="1">
      <alignment shrinkToFit="0" vertical="bottom" wrapText="1"/>
    </xf>
    <xf borderId="32" fillId="3" fontId="1" numFmtId="0" xfId="0" applyAlignment="1" applyBorder="1" applyFont="1">
      <alignment shrinkToFit="0" wrapText="1"/>
    </xf>
    <xf borderId="25" fillId="3" fontId="1" numFmtId="1" xfId="0" applyAlignment="1" applyBorder="1" applyFont="1" applyNumberFormat="1">
      <alignment horizontal="right" readingOrder="0" shrinkToFit="0" vertical="bottom" wrapText="1"/>
    </xf>
    <xf borderId="25" fillId="3" fontId="1" numFmtId="1" xfId="0" applyAlignment="1" applyBorder="1" applyFont="1" applyNumberFormat="1">
      <alignment horizontal="right" shrinkToFit="0" vertical="bottom" wrapText="1"/>
    </xf>
    <xf borderId="44" fillId="4" fontId="1" numFmtId="1" xfId="0" applyAlignment="1" applyBorder="1" applyFont="1" applyNumberFormat="1">
      <alignment readingOrder="0" shrinkToFit="0" vertical="bottom" wrapText="1"/>
    </xf>
    <xf borderId="44" fillId="4" fontId="1" numFmtId="1" xfId="0" applyAlignment="1" applyBorder="1" applyFont="1" applyNumberFormat="1">
      <alignment shrinkToFit="0" vertical="bottom" wrapText="1"/>
    </xf>
    <xf borderId="0" fillId="4" fontId="1" numFmtId="1" xfId="0" applyAlignment="1" applyFont="1" applyNumberFormat="1">
      <alignment shrinkToFit="0" vertical="bottom" wrapText="1"/>
    </xf>
    <xf borderId="24" fillId="4" fontId="4" numFmtId="1" xfId="0" applyAlignment="1" applyBorder="1" applyFont="1" applyNumberFormat="1">
      <alignment shrinkToFit="0" vertical="top" wrapText="1"/>
    </xf>
    <xf borderId="45" fillId="9" fontId="1" numFmtId="1" xfId="0" applyAlignment="1" applyBorder="1" applyFont="1" applyNumberFormat="1">
      <alignment shrinkToFit="0" vertical="bottom" wrapText="1"/>
    </xf>
    <xf borderId="23" fillId="4" fontId="1" numFmtId="1" xfId="0" applyAlignment="1" applyBorder="1" applyFont="1" applyNumberFormat="1">
      <alignment shrinkToFit="0" vertical="bottom" wrapText="1"/>
    </xf>
    <xf borderId="33" fillId="4" fontId="1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4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3" t="s">
        <v>2</v>
      </c>
      <c r="V1" s="3"/>
      <c r="W1" s="3"/>
      <c r="X1" s="4" t="s">
        <v>3</v>
      </c>
      <c r="Y1" s="4" t="s">
        <v>4</v>
      </c>
      <c r="Z1" s="4" t="s">
        <v>5</v>
      </c>
    </row>
    <row r="2" ht="15.75" customHeight="1">
      <c r="A2" s="5">
        <v>1.0</v>
      </c>
      <c r="B2" s="6" t="s">
        <v>6</v>
      </c>
      <c r="C2" s="7" t="s">
        <v>7</v>
      </c>
      <c r="D2" s="7" t="s">
        <v>8</v>
      </c>
      <c r="E2" s="7" t="s">
        <v>7</v>
      </c>
      <c r="F2" s="7" t="s">
        <v>8</v>
      </c>
      <c r="G2" s="7" t="s">
        <v>7</v>
      </c>
      <c r="H2" s="7" t="s">
        <v>8</v>
      </c>
      <c r="I2" s="7" t="str">
        <f>'2'!D2</f>
        <v>Dimension</v>
      </c>
      <c r="J2" s="7" t="str">
        <f>'2'!E2</f>
        <v>for</v>
      </c>
      <c r="K2" s="7" t="str">
        <f>'2'!F2</f>
        <v>Dimension</v>
      </c>
      <c r="L2" s="7" t="str">
        <f>'2'!G2</f>
        <v>for</v>
      </c>
      <c r="M2" s="7" t="str">
        <f>'2'!H2</f>
        <v>Dimension</v>
      </c>
      <c r="N2" s="7" t="str">
        <f>'2'!I2</f>
        <v>for</v>
      </c>
      <c r="O2" s="7" t="str">
        <f>'2'!J2</f>
        <v>Dimension</v>
      </c>
      <c r="P2" s="7" t="str">
        <f>'2'!K2</f>
        <v>for</v>
      </c>
      <c r="Q2" s="7" t="str">
        <f>'2'!L2</f>
        <v>Dimension</v>
      </c>
      <c r="R2" s="7" t="str">
        <f>'2'!M2</f>
        <v>for</v>
      </c>
      <c r="S2" s="7" t="str">
        <f>'2'!N2</f>
        <v>Dimension</v>
      </c>
      <c r="T2" s="8" t="str">
        <f>'2'!O2</f>
        <v>for</v>
      </c>
      <c r="U2" s="9" t="str">
        <f>'1'!V2</f>
        <v>This paper presents a novel Data Quality Scoring Operations (DQSOps) framework that yields a quality score for production data in DataOps workflows.</v>
      </c>
      <c r="V2" s="9" t="str">
        <f>'2'!V2</f>
        <v>This paper presents a novel Data Quality Scoring Operations (DQSOps) framework that yields a quality score for production data in DataOps workflows. The framework incorporates two scoring approaches, an ML prediction-based ap_x0002_proach that predicts the data quality score and a standard-based approach that periodically produces the ground-truth scores based on assessing several data quality dimensions. The DQ_x0002_SOps framework is deployed in a real-world industrial use case.</v>
      </c>
      <c r="W2" s="9" t="str">
        <f>OnlyForConflictsResolution!V2</f>
        <v>&lt;Please report the main contributions of the paper as stated by the authors. If not explicitly elicited, report the main research areas, if not clear from the keywords.&gt;</v>
      </c>
      <c r="X2" s="10"/>
      <c r="Y2" s="10"/>
      <c r="Z2" s="10"/>
    </row>
    <row r="3" ht="156.0" customHeight="1">
      <c r="A3" s="11"/>
      <c r="B3" s="11"/>
      <c r="C3" s="12" t="str">
        <f t="shared" ref="C3:D3" si="1">K25</f>
        <v>DevOps</v>
      </c>
      <c r="D3" s="12" t="str">
        <f t="shared" si="1"/>
        <v>Resource</v>
      </c>
      <c r="E3" s="12" t="str">
        <f t="shared" ref="E3:F3" si="2">K26</f>
        <v>DevOps</v>
      </c>
      <c r="F3" s="12" t="str">
        <f t="shared" si="2"/>
        <v>Process</v>
      </c>
      <c r="G3" s="12" t="str">
        <f t="shared" ref="G3:H3" si="3">K27</f>
        <v>AI/ML</v>
      </c>
      <c r="H3" s="12" t="str">
        <f t="shared" si="3"/>
        <v>Resource</v>
      </c>
      <c r="I3" s="12" t="str">
        <f t="shared" ref="I3:J3" si="4">K28</f>
        <v>AI/ML</v>
      </c>
      <c r="J3" s="12" t="str">
        <f t="shared" si="4"/>
        <v>Product</v>
      </c>
      <c r="K3" s="12" t="str">
        <f t="shared" ref="K3:L3" si="5">K29</f>
        <v>n.a.</v>
      </c>
      <c r="L3" s="12" t="str">
        <f t="shared" si="5"/>
        <v>n.a.</v>
      </c>
      <c r="M3" s="12" t="str">
        <f t="shared" ref="M3:N3" si="6">K30</f>
        <v>n.a.</v>
      </c>
      <c r="N3" s="12" t="str">
        <f t="shared" si="6"/>
        <v>n.a.</v>
      </c>
      <c r="O3" s="12" t="str">
        <f t="shared" ref="O3:P3" si="7">K31</f>
        <v>n.a.</v>
      </c>
      <c r="P3" s="12" t="str">
        <f t="shared" si="7"/>
        <v>n.a.</v>
      </c>
      <c r="Q3" s="12" t="str">
        <f t="shared" ref="Q3:R3" si="8">K32</f>
        <v>n.a.</v>
      </c>
      <c r="R3" s="12" t="str">
        <f t="shared" si="8"/>
        <v>n.a.</v>
      </c>
      <c r="S3" s="12" t="str">
        <f t="shared" ref="S3:T3" si="9">K33</f>
        <v>n.a.</v>
      </c>
      <c r="T3" s="13" t="str">
        <f t="shared" si="9"/>
        <v>n.a.</v>
      </c>
      <c r="U3" s="11"/>
      <c r="V3" s="11"/>
      <c r="W3" s="11"/>
      <c r="X3" s="14">
        <f>IF(COUNTIF(C3:T3,"n.a.")&gt;15,-1,0)+COUNTIF(U3,"*add your comment here if any*")+COUNTIF(V3,"*add your comment here if any*")</f>
        <v>0</v>
      </c>
      <c r="Y3" s="14">
        <f>IFERROR(__xludf.DUMMYFUNCTION("IMPORTRANGE($C$22,""!$X$3"")"),-3.0)</f>
        <v>-3</v>
      </c>
      <c r="Z3" s="14">
        <f t="shared" ref="Z3:Z20" si="10">X3*Y3</f>
        <v>0</v>
      </c>
    </row>
    <row r="4" ht="15.75" customHeight="1">
      <c r="A4" s="15">
        <v>2.0</v>
      </c>
      <c r="B4" s="15" t="s">
        <v>9</v>
      </c>
      <c r="C4" s="16" t="str">
        <f t="array" ref="C4">IF(COUNTIF({'1'!D4,'2'!D4,OnlyForConflictsResolution!D4},'1'!D4)&gt;1, '1'!D4, IF(COUNTIF({'1'!D4,'2'!D4,OnlyForConflictsResolution!D4},'2'!D4)&gt;1, '2'!D4, OnlyForConflictsResolution!D4))</f>
        <v>n.a.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8" t="str">
        <f>'1'!V4</f>
        <v>&lt;add your comment here if any&gt;</v>
      </c>
      <c r="V4" s="18" t="str">
        <f>'2'!V4</f>
        <v>&lt;add your comment here if any&gt;</v>
      </c>
      <c r="W4" s="18" t="str">
        <f>OnlyForConflictsResolution!V4</f>
        <v>&lt;add your comment here if any&gt;</v>
      </c>
      <c r="X4" s="10">
        <f t="shared" ref="X4:X20" si="11">COUNTIF(U4,"*add your comment here if any*")+COUNTIF(V4,"*add your comment here if any*")</f>
        <v>2</v>
      </c>
      <c r="Y4" s="10">
        <f>IFERROR(__xludf.DUMMYFUNCTION("IMPORTRANGE($C$22,""!$X$4"")"),0.0)</f>
        <v>0</v>
      </c>
      <c r="Z4" s="10">
        <f t="shared" si="10"/>
        <v>0</v>
      </c>
    </row>
    <row r="5" ht="15.75" customHeight="1">
      <c r="A5" s="19">
        <v>3.0</v>
      </c>
      <c r="B5" s="19" t="s">
        <v>10</v>
      </c>
      <c r="C5" s="20" t="str">
        <f t="array" ref="C5">IF(COUNTIF({'1'!D5,'2'!D5,OnlyForConflictsResolution!D5},'1'!D5)&gt;1, '1'!D5, IF(COUNTIF({'1'!D5,'2'!D5,OnlyForConflictsResolution!D5},'2'!D5)&gt;1, '2'!D5, OnlyForConflictsResolution!D5))</f>
        <v>n.a.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 t="str">
        <f>'1'!V5</f>
        <v>&lt;add your comment here if any&gt;</v>
      </c>
      <c r="V5" s="22" t="str">
        <f>'2'!V5</f>
        <v>&lt;add your comment here if any&gt;</v>
      </c>
      <c r="W5" s="22" t="str">
        <f>OnlyForConflictsResolution!V5</f>
        <v>&lt;add your comment here if any&gt;</v>
      </c>
      <c r="X5" s="14">
        <f t="shared" si="11"/>
        <v>2</v>
      </c>
      <c r="Y5" s="14">
        <f>IFERROR(__xludf.DUMMYFUNCTION("IMPORTRANGE($C$22,""!$X$5"")"),0.0)</f>
        <v>0</v>
      </c>
      <c r="Z5" s="14">
        <f t="shared" si="10"/>
        <v>0</v>
      </c>
    </row>
    <row r="6" ht="15.75" customHeight="1">
      <c r="A6" s="15">
        <v>4.0</v>
      </c>
      <c r="B6" s="15" t="s">
        <v>11</v>
      </c>
      <c r="C6" s="20" t="str">
        <f t="array" ref="C6">IF(COUNTIF({'1'!D6,'2'!D6,OnlyForConflictsResolution!D6},'1'!D6)&gt;1, '1'!D6, IF(COUNTIF({'1'!D6,'2'!D6,OnlyForConflictsResolution!D6},'2'!D6)&gt;1, '2'!D6, OnlyForConflictsResolution!D6))</f>
        <v>n.a.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8" t="str">
        <f>'1'!V6</f>
        <v>&lt;add your comment here if any&gt;</v>
      </c>
      <c r="V6" s="18" t="str">
        <f>'2'!V6</f>
        <v>&lt;add your comment here if any&gt;</v>
      </c>
      <c r="W6" s="18" t="str">
        <f>OnlyForConflictsResolution!V6</f>
        <v>&lt;add your comment here if any&gt;</v>
      </c>
      <c r="X6" s="10">
        <f t="shared" si="11"/>
        <v>2</v>
      </c>
      <c r="Y6" s="10">
        <f>IFERROR(__xludf.DUMMYFUNCTION("IMPORTRANGE($C$22,""!$X$6"")"),0.0)</f>
        <v>0</v>
      </c>
      <c r="Z6" s="10">
        <f t="shared" si="10"/>
        <v>0</v>
      </c>
    </row>
    <row r="7" ht="15.75" customHeight="1">
      <c r="A7" s="19">
        <v>5.0</v>
      </c>
      <c r="B7" s="19" t="s">
        <v>12</v>
      </c>
      <c r="C7" s="20" t="str">
        <f t="array" ref="C7">IF(COUNTIF({'1'!D7,'2'!D7,OnlyForConflictsResolution!D7},'1'!D7)&gt;1, '1'!D7, IF(COUNTIF({'1'!D7,'2'!D7,OnlyForConflictsResolution!D7},'2'!D7)&gt;1, '2'!D7, OnlyForConflictsResolution!D7))</f>
        <v>Y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2" t="str">
        <f>'1'!V7</f>
        <v>The proposed (ML-based) framework addresses the improvement of the quality of DataOps workflows.</v>
      </c>
      <c r="V7" s="22" t="str">
        <f>'2'!V7</f>
        <v>&lt;add your comment here if any&gt;</v>
      </c>
      <c r="W7" s="22" t="str">
        <f>OnlyForConflictsResolution!V7</f>
        <v>&lt;add your comment here if any&gt;</v>
      </c>
      <c r="X7" s="14">
        <f t="shared" si="11"/>
        <v>1</v>
      </c>
      <c r="Y7" s="14">
        <f>IFERROR(__xludf.DUMMYFUNCTION("IMPORTRANGE($C$22,""!$X$7"")"),0.0)</f>
        <v>0</v>
      </c>
      <c r="Z7" s="14">
        <f t="shared" si="10"/>
        <v>0</v>
      </c>
    </row>
    <row r="8" ht="15.75" customHeight="1">
      <c r="A8" s="15">
        <v>6.0</v>
      </c>
      <c r="B8" s="15" t="s">
        <v>13</v>
      </c>
      <c r="C8" s="20" t="str">
        <f t="array" ref="C8">IF(COUNTIF({'1'!D8,'2'!D8,OnlyForConflictsResolution!D8},'1'!D8)&gt;1, '1'!D8, IF(COUNTIF({'1'!D8,'2'!D8,OnlyForConflictsResolution!D8},'2'!D8)&gt;1, '2'!D8, OnlyForConflictsResolution!D8))</f>
        <v>n.a.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8" t="str">
        <f>'1'!V8</f>
        <v>&lt;add your comment here if any&gt;</v>
      </c>
      <c r="V8" s="18" t="str">
        <f>'2'!V8</f>
        <v>&lt;add your comment here if any&gt;</v>
      </c>
      <c r="W8" s="18" t="str">
        <f>OnlyForConflictsResolution!V8</f>
        <v>&lt;add your comment here if any&gt;</v>
      </c>
      <c r="X8" s="10">
        <f t="shared" si="11"/>
        <v>2</v>
      </c>
      <c r="Y8" s="10">
        <f>IFERROR(__xludf.DUMMYFUNCTION("IMPORTRANGE($C$22,""!$X$8"")"),0.0)</f>
        <v>0</v>
      </c>
      <c r="Z8" s="10">
        <f t="shared" si="10"/>
        <v>0</v>
      </c>
    </row>
    <row r="9" ht="15.75" customHeight="1">
      <c r="A9" s="19">
        <v>7.0</v>
      </c>
      <c r="B9" s="19" t="s">
        <v>14</v>
      </c>
      <c r="C9" s="20" t="str">
        <f t="array" ref="C9">IF(COUNTIF({'1'!D9,'2'!D9,OnlyForConflictsResolution!D9},'1'!D9)&gt;1, '1'!D9, IF(COUNTIF({'1'!D9,'2'!D9,OnlyForConflictsResolution!D9},'2'!D9)&gt;1, '2'!D9, OnlyForConflictsResolution!D9))</f>
        <v>n.a.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 t="str">
        <f>'1'!V9</f>
        <v>The proposed framework incorporates two scoring approaches, an ML prediction-based approach that predicts the data quality score and a standard-based approach that periodically produces the ground-truth scores based on assessing several data quality dimensions.</v>
      </c>
      <c r="V9" s="22" t="str">
        <f>'2'!V9</f>
        <v>&lt;add your comment here if any&gt;</v>
      </c>
      <c r="W9" s="22" t="str">
        <f>OnlyForConflictsResolution!V9</f>
        <v>&lt;add your comment here if any&gt;</v>
      </c>
      <c r="X9" s="14">
        <f t="shared" si="11"/>
        <v>1</v>
      </c>
      <c r="Y9" s="14">
        <f>IFERROR(__xludf.DUMMYFUNCTION("IMPORTRANGE($C$22,""!$X$9"")"),0.0)</f>
        <v>0</v>
      </c>
      <c r="Z9" s="14">
        <f t="shared" si="10"/>
        <v>0</v>
      </c>
    </row>
    <row r="10" ht="15.75" customHeight="1">
      <c r="A10" s="15">
        <v>8.0</v>
      </c>
      <c r="B10" s="15" t="s">
        <v>15</v>
      </c>
      <c r="C10" s="20">
        <f t="array" ref="C10">IF(COUNTIF({'1'!D10,'2'!D10,OnlyForConflictsResolution!D10},'1'!D10)&gt;1, '1'!D10, IF(COUNTIF({'1'!D10,'2'!D10,OnlyForConflictsResolution!D10},'2'!D10)&gt;1, '2'!D10, OnlyForConflictsResolution!D10))</f>
        <v>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 t="str">
        <f>'1'!V10</f>
        <v>The DQSOps framework has been deployed in a real-world industrial use case (Electroslag Remelting (ESR) vacuum pumping at Uddeholm steel company in Sweden)</v>
      </c>
      <c r="V10" s="18" t="str">
        <f>'2'!V10</f>
        <v>&lt;add your comment here if any&gt;</v>
      </c>
      <c r="W10" s="18" t="str">
        <f>OnlyForConflictsResolution!V10</f>
        <v>&lt;add your comment here if any&gt;</v>
      </c>
      <c r="X10" s="10">
        <f t="shared" si="11"/>
        <v>1</v>
      </c>
      <c r="Y10" s="10">
        <f>IFERROR(__xludf.DUMMYFUNCTION("IMPORTRANGE($C$22,""!$X$10"")"),0.0)</f>
        <v>0</v>
      </c>
      <c r="Z10" s="10">
        <f t="shared" si="10"/>
        <v>0</v>
      </c>
    </row>
    <row r="11" ht="15.75" customHeight="1">
      <c r="A11" s="19">
        <v>9.0</v>
      </c>
      <c r="B11" s="19" t="s">
        <v>16</v>
      </c>
      <c r="C11" s="20" t="str">
        <f t="array" ref="C11">IF(COUNTIF({'1'!D11,'2'!D11,OnlyForConflictsResolution!D11},'1'!D11)&gt;1, '1'!D11, IF(COUNTIF({'1'!D11,'2'!D11,OnlyForConflictsResolution!D11},'2'!D11)&gt;1, '2'!D11, OnlyForConflictsResolution!D11))</f>
        <v>n.a.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 t="str">
        <f>'1'!V11</f>
        <v>The implementation of the framework (in the industrial case) is described, but the source code is not provided.</v>
      </c>
      <c r="V11" s="22" t="str">
        <f>'2'!V11</f>
        <v>&lt;add your comment here if any&gt;</v>
      </c>
      <c r="W11" s="22" t="str">
        <f>OnlyForConflictsResolution!V11</f>
        <v>&lt;add your comment here if any&gt;</v>
      </c>
      <c r="X11" s="14">
        <f t="shared" si="11"/>
        <v>1</v>
      </c>
      <c r="Y11" s="14">
        <f>IFERROR(__xludf.DUMMYFUNCTION("IMPORTRANGE($C$22,""!$X$11"")"),0.0)</f>
        <v>0</v>
      </c>
      <c r="Z11" s="14">
        <f t="shared" si="10"/>
        <v>0</v>
      </c>
    </row>
    <row r="12" ht="15.75" customHeight="1">
      <c r="A12" s="15">
        <v>10.0</v>
      </c>
      <c r="B12" s="15" t="s">
        <v>17</v>
      </c>
      <c r="C12" s="20" t="str">
        <f>K37</f>
        <v>Monitoring</v>
      </c>
      <c r="D12" s="23" t="str">
        <f>K38</f>
        <v>Testing</v>
      </c>
      <c r="E12" s="23" t="str">
        <f>K39</f>
        <v>n.a.</v>
      </c>
      <c r="F12" s="23" t="str">
        <f>K40</f>
        <v>n.a.</v>
      </c>
      <c r="G12" s="23" t="str">
        <f>K41</f>
        <v>n.a.</v>
      </c>
      <c r="H12" s="23" t="str">
        <f>K42</f>
        <v>n.a.</v>
      </c>
      <c r="I12" s="23" t="str">
        <f>K43</f>
        <v>n.a.</v>
      </c>
      <c r="J12" s="23" t="str">
        <f>K44</f>
        <v>n.a.</v>
      </c>
      <c r="K12" s="23" t="str">
        <f>K45</f>
        <v>n.a.</v>
      </c>
      <c r="L12" s="23" t="str">
        <f>K46</f>
        <v>n.a.</v>
      </c>
      <c r="M12" s="17" t="str">
        <f>U37</f>
        <v/>
      </c>
      <c r="N12" s="17" t="str">
        <f t="shared" ref="N12:O12" si="12">AA37</f>
        <v/>
      </c>
      <c r="O12" s="17" t="str">
        <f t="shared" si="12"/>
        <v/>
      </c>
      <c r="P12" s="17"/>
      <c r="Q12" s="17"/>
      <c r="R12" s="17"/>
      <c r="S12" s="17"/>
      <c r="T12" s="17"/>
      <c r="U12" s="18" t="str">
        <f>'1'!V12</f>
        <v>&lt;add your comment here if any&gt;</v>
      </c>
      <c r="V12" s="18" t="str">
        <f>'2'!V12</f>
        <v>&lt;add your comment here if any&gt;</v>
      </c>
      <c r="W12" s="18" t="str">
        <f>OnlyForConflictsResolution!V12</f>
        <v>&lt;add your comment here if any&gt;</v>
      </c>
      <c r="X12" s="10">
        <f t="shared" si="11"/>
        <v>2</v>
      </c>
      <c r="Y12" s="10">
        <f>IFERROR(__xludf.DUMMYFUNCTION("IMPORTRANGE($C$22,""!$X$12"")"),0.0)</f>
        <v>0</v>
      </c>
      <c r="Z12" s="10">
        <f t="shared" si="10"/>
        <v>0</v>
      </c>
    </row>
    <row r="13" ht="15.75" customHeight="1">
      <c r="A13" s="19">
        <v>11.0</v>
      </c>
      <c r="B13" s="19" t="s">
        <v>18</v>
      </c>
      <c r="C13" s="24" t="str">
        <f t="shared" ref="C13:D13" si="13">K67</f>
        <v>Conference</v>
      </c>
      <c r="D13" s="25" t="str">
        <f t="shared" si="13"/>
        <v>27th International Conference on Evaluation and Assessment in Software Engineering (EASE'23)</v>
      </c>
      <c r="E13" s="21"/>
      <c r="F13" s="21"/>
      <c r="G13" s="21"/>
      <c r="H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2" t="str">
        <f>'1'!V13</f>
        <v>&lt;add your comment here if any&gt;</v>
      </c>
      <c r="V13" s="22" t="str">
        <f>'2'!V13</f>
        <v>&lt;add your comment here if any&gt;</v>
      </c>
      <c r="W13" s="22" t="str">
        <f>OnlyForConflictsResolution!V13</f>
        <v>&lt;add your comment here if any&gt;</v>
      </c>
      <c r="X13" s="14">
        <f t="shared" si="11"/>
        <v>2</v>
      </c>
      <c r="Y13" s="14">
        <f>IFERROR(__xludf.DUMMYFUNCTION("IMPORTRANGE($C$22,""!$X$13"")"),0.0)</f>
        <v>0</v>
      </c>
      <c r="Z13" s="14">
        <f t="shared" si="10"/>
        <v>0</v>
      </c>
    </row>
    <row r="14" ht="15.75" customHeight="1">
      <c r="A14" s="15">
        <v>12.0</v>
      </c>
      <c r="B14" s="15" t="s">
        <v>19</v>
      </c>
      <c r="C14" s="26" t="str">
        <f t="array" ref="C14">IF(COUNTIF({'1'!D14,'2'!D14,OnlyForConflictsResolution!D14},'1'!D14)&gt;1, '1'!D14, IF(COUNTIF({'1'!D14,'2'!D14,OnlyForConflictsResolution!D14},'2'!D14)&gt;1, '2'!D14, OnlyForConflictsResolution!D14))</f>
        <v>Y</v>
      </c>
      <c r="D14" s="23">
        <f>IF(OR(EXACT(C7,"Y")),1,0)</f>
        <v>1</v>
      </c>
      <c r="E14" s="23">
        <f>IF(OR(EXACT(C9,"Y")),1,0)</f>
        <v>0</v>
      </c>
      <c r="F14" s="23">
        <f t="shared" ref="F14:F16" si="14">D14+E14</f>
        <v>1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8" t="str">
        <f>'1'!V14</f>
        <v>&lt;add your comment here if any&gt;</v>
      </c>
      <c r="V14" s="18" t="str">
        <f>'2'!V14</f>
        <v>&lt;add your comment here if any&gt;</v>
      </c>
      <c r="W14" s="18" t="str">
        <f>OnlyForConflictsResolution!V14</f>
        <v>&lt;add your comment here if any&gt;</v>
      </c>
      <c r="X14" s="10">
        <f t="shared" si="11"/>
        <v>2</v>
      </c>
      <c r="Y14" s="10">
        <f>IFERROR(__xludf.DUMMYFUNCTION("IMPORTRANGE($C$22,""!$X$14"")"),0.0)</f>
        <v>0</v>
      </c>
      <c r="Z14" s="10">
        <f t="shared" si="10"/>
        <v>0</v>
      </c>
    </row>
    <row r="15" ht="15.75" customHeight="1">
      <c r="A15" s="19">
        <v>13.0</v>
      </c>
      <c r="B15" s="19" t="s">
        <v>20</v>
      </c>
      <c r="C15" s="26" t="str">
        <f t="array" ref="C15">IF(COUNTIF({'1'!D15,'2'!D15,OnlyForConflictsResolution!D15},'1'!D15)&gt;1, '1'!D15, IF(COUNTIF({'1'!D15,'2'!D15,OnlyForConflictsResolution!D15},'2'!D15)&gt;1, '2'!D15, OnlyForConflictsResolution!D15))</f>
        <v>N</v>
      </c>
      <c r="D15" s="12">
        <f t="shared" ref="D15:D16" si="15">IF(OR(EXACT(C4,"Y")),1,0)</f>
        <v>0</v>
      </c>
      <c r="E15" s="12">
        <f>IF(OR(EXACT(C6,"Y")),1,0)</f>
        <v>0</v>
      </c>
      <c r="F15" s="12">
        <f t="shared" si="14"/>
        <v>0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2" t="str">
        <f>'1'!V15</f>
        <v>&lt;add your comment here if any&gt;</v>
      </c>
      <c r="V15" s="22" t="str">
        <f>'2'!V15</f>
        <v>&lt;add your comment here if any&gt;</v>
      </c>
      <c r="W15" s="22" t="str">
        <f>OnlyForConflictsResolution!V15</f>
        <v>&lt;add your comment here if any&gt;</v>
      </c>
      <c r="X15" s="14">
        <f t="shared" si="11"/>
        <v>2</v>
      </c>
      <c r="Y15" s="14">
        <f>IFERROR(__xludf.DUMMYFUNCTION("IMPORTRANGE($C$22,""!$X$15"")"),0.0)</f>
        <v>0</v>
      </c>
      <c r="Z15" s="14">
        <f t="shared" si="10"/>
        <v>0</v>
      </c>
    </row>
    <row r="16" ht="15.75" customHeight="1">
      <c r="A16" s="15">
        <v>14.0</v>
      </c>
      <c r="B16" s="15" t="s">
        <v>21</v>
      </c>
      <c r="C16" s="26" t="str">
        <f t="array" ref="C16">IF(COUNTIF({'1'!D16,'2'!D16,OnlyForConflictsResolution!D16},'1'!D16)&gt;1, '1'!D16, IF(COUNTIF({'1'!D16,'2'!D16,OnlyForConflictsResolution!D16},'2'!D16)&gt;1, '2'!D16, OnlyForConflictsResolution!D16))</f>
        <v>N</v>
      </c>
      <c r="D16" s="23">
        <f t="shared" si="15"/>
        <v>0</v>
      </c>
      <c r="E16" s="23">
        <f>IF(OR(EXACT(C8,"Y")),1,0)</f>
        <v>0</v>
      </c>
      <c r="F16" s="23">
        <f t="shared" si="14"/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 t="str">
        <f>'1'!V16</f>
        <v>&lt;add your comment here if any&gt;</v>
      </c>
      <c r="V16" s="18" t="str">
        <f>'2'!V16</f>
        <v>&lt;add your comment here if any&gt;</v>
      </c>
      <c r="W16" s="18" t="str">
        <f>OnlyForConflictsResolution!V16</f>
        <v>&lt;add your comment here if any&gt;</v>
      </c>
      <c r="X16" s="10">
        <f t="shared" si="11"/>
        <v>2</v>
      </c>
      <c r="Y16" s="10">
        <f>IFERROR(__xludf.DUMMYFUNCTION("IMPORTRANGE($C$22,""!$X$16"")"),0.0)</f>
        <v>0</v>
      </c>
      <c r="Z16" s="10">
        <f t="shared" si="10"/>
        <v>0</v>
      </c>
    </row>
    <row r="17" ht="15.75" customHeight="1">
      <c r="A17" s="19">
        <v>15.0</v>
      </c>
      <c r="B17" s="19" t="s">
        <v>22</v>
      </c>
      <c r="C17" s="26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2">
        <f>IF(OR(AND(F14,OR(F15,F16)),AND(F15,OR(F14,F16)),AND(F16,OR(F14,F15))),1,0)</f>
        <v>0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 t="str">
        <f>'1'!V17</f>
        <v>&lt;add your comment here if any&gt;</v>
      </c>
      <c r="V17" s="22" t="str">
        <f>'2'!V17</f>
        <v>&lt;add your comment here if any&gt;</v>
      </c>
      <c r="W17" s="22" t="str">
        <f>OnlyForConflictsResolution!V17</f>
        <v>&lt;add your comment here if any&gt;</v>
      </c>
      <c r="X17" s="14">
        <f t="shared" si="11"/>
        <v>2</v>
      </c>
      <c r="Y17" s="14">
        <f>IFERROR(__xludf.DUMMYFUNCTION("IMPORTRANGE($C$22,""!$X$17"")"),0.0)</f>
        <v>0</v>
      </c>
      <c r="Z17" s="14">
        <f t="shared" si="10"/>
        <v>0</v>
      </c>
    </row>
    <row r="18" ht="15.75" customHeight="1">
      <c r="A18" s="27">
        <v>16.0</v>
      </c>
      <c r="B18" s="27" t="s">
        <v>23</v>
      </c>
      <c r="C18" s="20" t="str">
        <f>K47</f>
        <v>Manufacturing</v>
      </c>
      <c r="D18" s="28" t="str">
        <f>K48</f>
        <v>application domain independent</v>
      </c>
      <c r="E18" s="28" t="str">
        <f>K49</f>
        <v>n.a.</v>
      </c>
      <c r="F18" s="28" t="str">
        <f>K50</f>
        <v>n.a.</v>
      </c>
      <c r="G18" s="28" t="str">
        <f>K52</f>
        <v>n.a.</v>
      </c>
      <c r="H18" s="28" t="str">
        <f>K52</f>
        <v>n.a.</v>
      </c>
      <c r="I18" s="28" t="str">
        <f>K53</f>
        <v>n.a.</v>
      </c>
      <c r="J18" s="28" t="str">
        <f>K54</f>
        <v>n.a.</v>
      </c>
      <c r="K18" s="28" t="str">
        <f>K55</f>
        <v>n.a.</v>
      </c>
      <c r="L18" s="28" t="str">
        <f>K56</f>
        <v>n.a.</v>
      </c>
      <c r="M18" s="17"/>
      <c r="N18" s="17"/>
      <c r="O18" s="17"/>
      <c r="P18" s="17"/>
      <c r="Q18" s="17"/>
      <c r="R18" s="17"/>
      <c r="S18" s="17"/>
      <c r="T18" s="17"/>
      <c r="U18" s="18" t="str">
        <f>'1'!V18</f>
        <v>&lt;add your comment here if any&gt;</v>
      </c>
      <c r="V18" s="18" t="str">
        <f>'2'!V18</f>
        <v>&lt;add your comment here if any&gt;</v>
      </c>
      <c r="W18" s="18" t="str">
        <f>OnlyForConflictsResolution!V18</f>
        <v>&lt;add your comment here if any&gt;</v>
      </c>
      <c r="X18" s="10">
        <f t="shared" si="11"/>
        <v>2</v>
      </c>
      <c r="Y18" s="10">
        <f>IFERROR(__xludf.DUMMYFUNCTION("IMPORTRANGE($C$22,""!$X$18"")"),0.0)</f>
        <v>0</v>
      </c>
      <c r="Z18" s="10">
        <f t="shared" si="10"/>
        <v>0</v>
      </c>
    </row>
    <row r="19" ht="15.75" customHeight="1">
      <c r="A19" s="29">
        <v>17.0</v>
      </c>
      <c r="B19" s="29" t="s">
        <v>24</v>
      </c>
      <c r="C19" s="30" t="str">
        <f>K57</f>
        <v>Automated data scoring</v>
      </c>
      <c r="D19" s="31" t="str">
        <f>K58</f>
        <v>DataOps</v>
      </c>
      <c r="E19" s="31" t="str">
        <f>K59</f>
        <v>data assessment</v>
      </c>
      <c r="F19" s="31" t="str">
        <f>K60</f>
        <v>data quality dimensions</v>
      </c>
      <c r="G19" s="31" t="str">
        <f>K61</f>
        <v>mutation testing</v>
      </c>
      <c r="H19" s="32" t="str">
        <f>K62</f>
        <v>n.a.</v>
      </c>
      <c r="I19" s="31" t="str">
        <f>K63</f>
        <v>n.a.</v>
      </c>
      <c r="J19" s="31" t="str">
        <f>K64</f>
        <v>n.a.</v>
      </c>
      <c r="K19" s="31" t="str">
        <f>K65</f>
        <v>n.a.</v>
      </c>
      <c r="L19" s="31" t="str">
        <f>K66</f>
        <v>n.a.</v>
      </c>
      <c r="N19" s="21"/>
      <c r="O19" s="21"/>
      <c r="P19" s="21"/>
      <c r="Q19" s="21"/>
      <c r="R19" s="21"/>
      <c r="S19" s="21"/>
      <c r="T19" s="21"/>
      <c r="U19" s="22" t="str">
        <f>'1'!V19</f>
        <v>&lt;add your comment here if any&gt;</v>
      </c>
      <c r="V19" s="22" t="str">
        <f>'2'!V19</f>
        <v>&lt;add your comment here if any&gt;</v>
      </c>
      <c r="W19" s="22" t="str">
        <f>OnlyForConflictsResolution!V19</f>
        <v>&lt;add your comment here if any&gt;</v>
      </c>
      <c r="X19" s="14">
        <f t="shared" si="11"/>
        <v>2</v>
      </c>
      <c r="Y19" s="14">
        <f>IFERROR(__xludf.DUMMYFUNCTION("IMPORTRANGE($C$22,""!$X$19"")"),0.0)</f>
        <v>0</v>
      </c>
      <c r="Z19" s="14">
        <f t="shared" si="10"/>
        <v>0</v>
      </c>
    </row>
    <row r="20" ht="15.75" customHeight="1">
      <c r="A20" s="33">
        <v>18.0</v>
      </c>
      <c r="B20" s="34" t="s">
        <v>25</v>
      </c>
      <c r="C20" s="35" t="str">
        <f t="array" ref="C20">IF(COUNTIF({'1'!D20,'2'!D20,OnlyForConflictsResolution!D20},'1'!D20)&gt;1, '1'!D20, IF(COUNTIF({'1'!D20,'2'!D20,OnlyForConflictsResolution!D20},'2'!D20)&gt;1, '2'!D20, OnlyForConflictsResolution!D20))</f>
        <v>Y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18" t="str">
        <f>'1'!V20</f>
        <v>&lt;add your comment here if any&gt;</v>
      </c>
      <c r="V20" s="18" t="str">
        <f>'2'!V20</f>
        <v>&lt;add your comment here if any&gt;</v>
      </c>
      <c r="W20" s="18" t="str">
        <f>OnlyForConflictsResolution!V20</f>
        <v>&lt;add your comment here if any&gt;</v>
      </c>
      <c r="X20" s="10">
        <f t="shared" si="11"/>
        <v>2</v>
      </c>
      <c r="Y20" s="10">
        <f>IFERROR(__xludf.DUMMYFUNCTION("IMPORTRANGE($C$22,""!$X$20"")"),0.0)</f>
        <v>0</v>
      </c>
      <c r="Z20" s="10">
        <f t="shared" si="10"/>
        <v>0</v>
      </c>
    </row>
    <row r="21" ht="15.75" customHeight="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8"/>
      <c r="O21" s="38"/>
      <c r="P21" s="38"/>
      <c r="Q21" s="38"/>
      <c r="R21" s="38"/>
      <c r="S21" s="38"/>
      <c r="T21" s="38"/>
      <c r="U21" s="39"/>
      <c r="V21" s="39"/>
      <c r="W21" s="39"/>
      <c r="X21" s="40">
        <f t="shared" ref="X21:Z21" si="16">SUM(X3:X20)</f>
        <v>30</v>
      </c>
      <c r="Y21" s="40">
        <f t="shared" si="16"/>
        <v>-3</v>
      </c>
      <c r="Z21" s="40">
        <f t="shared" si="16"/>
        <v>0</v>
      </c>
    </row>
    <row r="22" ht="15.75" customHeight="1">
      <c r="A22" s="41"/>
      <c r="B22" s="41" t="s">
        <v>26</v>
      </c>
      <c r="C22" s="42" t="s">
        <v>27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3"/>
      <c r="O22" s="43"/>
      <c r="P22" s="43"/>
      <c r="Q22" s="43"/>
      <c r="R22" s="43"/>
      <c r="S22" s="43"/>
      <c r="T22" s="43"/>
      <c r="U22" s="44"/>
      <c r="V22" s="44"/>
      <c r="W22" s="44"/>
      <c r="X22" s="45"/>
      <c r="Y22" s="45"/>
      <c r="Z22" s="45"/>
    </row>
    <row r="23" ht="15.75" customHeight="1">
      <c r="A23" s="37" t="s">
        <v>28</v>
      </c>
      <c r="N23" s="38"/>
      <c r="O23" s="38"/>
      <c r="P23" s="38"/>
      <c r="Q23" s="38"/>
      <c r="R23" s="38"/>
      <c r="S23" s="38"/>
      <c r="T23" s="38"/>
      <c r="U23" s="46"/>
      <c r="V23" s="46"/>
      <c r="W23" s="46"/>
      <c r="X23" s="47"/>
      <c r="Y23" s="47"/>
      <c r="Z23" s="47"/>
    </row>
    <row r="24" ht="15.75" customHeight="1">
      <c r="A24" s="48">
        <v>1.0</v>
      </c>
      <c r="B24" s="49"/>
      <c r="C24" s="50" t="s">
        <v>29</v>
      </c>
      <c r="D24" s="51"/>
      <c r="E24" s="51"/>
      <c r="F24" s="51"/>
      <c r="G24" s="51"/>
      <c r="H24" s="51"/>
      <c r="I24" s="51"/>
      <c r="J24" s="52"/>
      <c r="K24" s="53" t="s">
        <v>30</v>
      </c>
      <c r="L24" s="51"/>
      <c r="M24" s="54"/>
      <c r="N24" s="55"/>
      <c r="O24" s="55"/>
      <c r="P24" s="55"/>
      <c r="Q24" s="55"/>
      <c r="R24" s="55"/>
      <c r="S24" s="55"/>
      <c r="T24" s="55"/>
      <c r="U24" s="56"/>
      <c r="V24" s="56"/>
      <c r="W24" s="56"/>
      <c r="X24" s="45"/>
      <c r="Y24" s="45"/>
      <c r="Z24" s="45"/>
    </row>
    <row r="25" ht="15.75" customHeight="1">
      <c r="A25" s="57"/>
      <c r="B25" s="19">
        <v>1.0</v>
      </c>
      <c r="C25" s="58" t="str">
        <f>'1'!D$3</f>
        <v>DevOps</v>
      </c>
      <c r="D25" s="58" t="str">
        <f>'1'!E$3</f>
        <v>Resource</v>
      </c>
      <c r="E25" s="59" t="str">
        <f t="shared" ref="E25:E36" si="18">CONCATENATE(C25," ",D25)</f>
        <v>DevOps Resource</v>
      </c>
      <c r="F25" s="59"/>
      <c r="G25" s="59" t="str">
        <f>IFERROR(__xludf.DUMMYFUNCTION("IFNA(UNIQUE(FILTER(E25:E36, E25:E36&lt;&gt;""n.a. n.a."")),""n.a."")"),"DevOps Resource")</f>
        <v>DevOps Resource</v>
      </c>
      <c r="H25" s="59"/>
      <c r="I25" s="59" t="str">
        <f>IFERROR(__xludf.DUMMYFUNCTION("IFERROR(SPLIT($G25,"" ""),"""")"),"DevOps")</f>
        <v>DevOps</v>
      </c>
      <c r="J25" s="59" t="str">
        <f>IFERROR(__xludf.DUMMYFUNCTION("""COMPUTED_VALUE"""),"Resource")</f>
        <v>Resource</v>
      </c>
      <c r="K25" s="60" t="str">
        <f t="shared" ref="K25:L25" si="17">IF(NOT(I25=""),I25,"n.a.")</f>
        <v>DevOps</v>
      </c>
      <c r="L25" s="60" t="str">
        <f t="shared" si="17"/>
        <v>Resource</v>
      </c>
      <c r="M25" s="61">
        <v>1.0</v>
      </c>
      <c r="N25" s="62"/>
      <c r="O25" s="62"/>
      <c r="P25" s="62"/>
      <c r="Q25" s="62"/>
      <c r="R25" s="62"/>
      <c r="S25" s="62"/>
      <c r="T25" s="62"/>
      <c r="U25" s="63"/>
      <c r="V25" s="63"/>
      <c r="W25" s="63"/>
      <c r="X25" s="47"/>
      <c r="Y25" s="47"/>
      <c r="Z25" s="47"/>
    </row>
    <row r="26" ht="15.75" customHeight="1">
      <c r="A26" s="57"/>
      <c r="B26" s="15">
        <v>2.0</v>
      </c>
      <c r="C26" s="58" t="str">
        <f>'1'!F$3</f>
        <v>DevOps</v>
      </c>
      <c r="D26" s="58" t="str">
        <f>'1'!G$3</f>
        <v>Process</v>
      </c>
      <c r="E26" s="64" t="str">
        <f t="shared" si="18"/>
        <v>DevOps Process</v>
      </c>
      <c r="F26" s="64"/>
      <c r="G26" s="64" t="str">
        <f>IFERROR(__xludf.DUMMYFUNCTION("""COMPUTED_VALUE"""),"DevOps Process")</f>
        <v>DevOps Process</v>
      </c>
      <c r="H26" s="64"/>
      <c r="I26" s="64" t="str">
        <f>IFERROR(__xludf.DUMMYFUNCTION("IFERROR(SPLIT($G26,"" ""),"""")"),"DevOps")</f>
        <v>DevOps</v>
      </c>
      <c r="J26" s="64" t="str">
        <f>IFERROR(__xludf.DUMMYFUNCTION("""COMPUTED_VALUE"""),"Process")</f>
        <v>Process</v>
      </c>
      <c r="K26" s="65" t="str">
        <f t="shared" ref="K26:L26" si="19">IF(NOT(I26=""),I26,"n.a.")</f>
        <v>DevOps</v>
      </c>
      <c r="L26" s="65" t="str">
        <f t="shared" si="19"/>
        <v>Process</v>
      </c>
      <c r="M26" s="66">
        <v>2.0</v>
      </c>
      <c r="N26" s="55"/>
      <c r="O26" s="55"/>
      <c r="P26" s="55"/>
      <c r="Q26" s="55"/>
      <c r="R26" s="55"/>
      <c r="S26" s="55"/>
      <c r="T26" s="55"/>
      <c r="U26" s="56"/>
      <c r="V26" s="56"/>
      <c r="W26" s="56"/>
      <c r="X26" s="45"/>
      <c r="Y26" s="45"/>
      <c r="Z26" s="45"/>
    </row>
    <row r="27" ht="15.75" customHeight="1">
      <c r="A27" s="57"/>
      <c r="B27" s="19">
        <v>3.0</v>
      </c>
      <c r="C27" s="58" t="str">
        <f>'1'!H$3</f>
        <v>AI/ML</v>
      </c>
      <c r="D27" s="58" t="str">
        <f>'1'!I$3</f>
        <v>Resource</v>
      </c>
      <c r="E27" s="59" t="str">
        <f t="shared" si="18"/>
        <v>AI/ML Resource</v>
      </c>
      <c r="F27" s="59"/>
      <c r="G27" s="59" t="str">
        <f>IFERROR(__xludf.DUMMYFUNCTION("""COMPUTED_VALUE"""),"AI/ML Resource")</f>
        <v>AI/ML Resource</v>
      </c>
      <c r="H27" s="59"/>
      <c r="I27" s="59" t="str">
        <f>IFERROR(__xludf.DUMMYFUNCTION("IFERROR(SPLIT($G27,"" ""),"""")"),"AI/ML")</f>
        <v>AI/ML</v>
      </c>
      <c r="J27" s="59" t="str">
        <f>IFERROR(__xludf.DUMMYFUNCTION("""COMPUTED_VALUE"""),"Resource")</f>
        <v>Resource</v>
      </c>
      <c r="K27" s="60" t="str">
        <f t="shared" ref="K27:L27" si="20">IF(NOT(I27=""),I27,"n.a.")</f>
        <v>AI/ML</v>
      </c>
      <c r="L27" s="60" t="str">
        <f t="shared" si="20"/>
        <v>Resource</v>
      </c>
      <c r="M27" s="61">
        <v>3.0</v>
      </c>
      <c r="N27" s="62"/>
      <c r="O27" s="62"/>
      <c r="P27" s="62"/>
      <c r="Q27" s="62"/>
      <c r="R27" s="62"/>
      <c r="S27" s="62"/>
      <c r="T27" s="62"/>
      <c r="U27" s="63"/>
      <c r="V27" s="63"/>
      <c r="W27" s="63"/>
      <c r="X27" s="47"/>
      <c r="Y27" s="47"/>
      <c r="Z27" s="47"/>
    </row>
    <row r="28" ht="15.75" customHeight="1">
      <c r="A28" s="57"/>
      <c r="B28" s="15">
        <v>1.0</v>
      </c>
      <c r="C28" s="67" t="str">
        <f>'2'!D$3</f>
        <v>DevOps</v>
      </c>
      <c r="D28" s="67" t="str">
        <f>'2'!E$3</f>
        <v>Resource</v>
      </c>
      <c r="E28" s="64" t="str">
        <f t="shared" si="18"/>
        <v>DevOps Resource</v>
      </c>
      <c r="F28" s="64"/>
      <c r="G28" s="64" t="str">
        <f>IFERROR(__xludf.DUMMYFUNCTION("""COMPUTED_VALUE"""),"AI/ML Product")</f>
        <v>AI/ML Product</v>
      </c>
      <c r="H28" s="64"/>
      <c r="I28" s="64" t="str">
        <f>IFERROR(__xludf.DUMMYFUNCTION("IFERROR(SPLIT($G28,"" ""),"""")"),"AI/ML")</f>
        <v>AI/ML</v>
      </c>
      <c r="J28" s="64" t="str">
        <f>IFERROR(__xludf.DUMMYFUNCTION("""COMPUTED_VALUE"""),"Product")</f>
        <v>Product</v>
      </c>
      <c r="K28" s="65" t="str">
        <f t="shared" ref="K28:L28" si="21">IF(NOT(I28=""),I28,"n.a.")</f>
        <v>AI/ML</v>
      </c>
      <c r="L28" s="65" t="str">
        <f t="shared" si="21"/>
        <v>Product</v>
      </c>
      <c r="M28" s="66">
        <v>4.0</v>
      </c>
      <c r="N28" s="55"/>
      <c r="O28" s="55"/>
      <c r="P28" s="55"/>
      <c r="Q28" s="55"/>
      <c r="R28" s="55"/>
      <c r="S28" s="55"/>
      <c r="T28" s="55"/>
      <c r="U28" s="56"/>
      <c r="V28" s="56"/>
      <c r="W28" s="56"/>
      <c r="X28" s="45"/>
      <c r="Y28" s="45"/>
      <c r="Z28" s="45"/>
    </row>
    <row r="29" ht="15.75" customHeight="1">
      <c r="A29" s="57"/>
      <c r="B29" s="19">
        <v>2.0</v>
      </c>
      <c r="C29" s="67" t="str">
        <f>'2'!F$3</f>
        <v>AI/ML</v>
      </c>
      <c r="D29" s="67" t="str">
        <f>'2'!G$3</f>
        <v>Product</v>
      </c>
      <c r="E29" s="59" t="str">
        <f t="shared" si="18"/>
        <v>AI/ML Product</v>
      </c>
      <c r="F29" s="59"/>
      <c r="G29" s="59"/>
      <c r="H29" s="59"/>
      <c r="I29" s="59" t="str">
        <f>IFERROR(__xludf.DUMMYFUNCTION("IFERROR(SPLIT($G29,"" ""),"""")"),"")</f>
        <v/>
      </c>
      <c r="J29" s="59"/>
      <c r="K29" s="60" t="str">
        <f t="shared" ref="K29:L29" si="22">IF(NOT(I29=""),I29,"n.a.")</f>
        <v>n.a.</v>
      </c>
      <c r="L29" s="60" t="str">
        <f t="shared" si="22"/>
        <v>n.a.</v>
      </c>
      <c r="M29" s="61">
        <v>5.0</v>
      </c>
      <c r="N29" s="62"/>
      <c r="O29" s="62"/>
      <c r="P29" s="62"/>
      <c r="Q29" s="62"/>
      <c r="R29" s="62"/>
      <c r="S29" s="62"/>
      <c r="T29" s="62"/>
      <c r="U29" s="63"/>
      <c r="V29" s="63"/>
      <c r="W29" s="63"/>
      <c r="X29" s="47"/>
      <c r="Y29" s="47"/>
      <c r="Z29" s="47"/>
    </row>
    <row r="30" ht="15.75" customHeight="1">
      <c r="A30" s="57"/>
      <c r="B30" s="15">
        <v>3.0</v>
      </c>
      <c r="C30" s="67" t="str">
        <f>'2'!H$3</f>
        <v>n.a.</v>
      </c>
      <c r="D30" s="67" t="str">
        <f>'2'!I$3</f>
        <v>n.a.</v>
      </c>
      <c r="E30" s="64" t="str">
        <f t="shared" si="18"/>
        <v>n.a. n.a.</v>
      </c>
      <c r="F30" s="64"/>
      <c r="G30" s="64"/>
      <c r="H30" s="64"/>
      <c r="I30" s="64" t="str">
        <f>IFERROR(__xludf.DUMMYFUNCTION("IFERROR(SPLIT($G30,"" ""),"""")"),"")</f>
        <v/>
      </c>
      <c r="J30" s="64"/>
      <c r="K30" s="65" t="str">
        <f t="shared" ref="K30:L30" si="23">IF(NOT(I30=""),I30,"n.a.")</f>
        <v>n.a.</v>
      </c>
      <c r="L30" s="65" t="str">
        <f t="shared" si="23"/>
        <v>n.a.</v>
      </c>
      <c r="M30" s="66">
        <v>6.0</v>
      </c>
      <c r="N30" s="55"/>
      <c r="O30" s="55"/>
      <c r="P30" s="55"/>
      <c r="Q30" s="55"/>
      <c r="R30" s="55"/>
      <c r="S30" s="55"/>
      <c r="T30" s="55"/>
      <c r="U30" s="56"/>
      <c r="V30" s="56"/>
      <c r="W30" s="56"/>
      <c r="X30" s="45"/>
      <c r="Y30" s="45"/>
      <c r="Z30" s="45"/>
    </row>
    <row r="31" ht="15.75" customHeight="1">
      <c r="A31" s="57"/>
      <c r="B31" s="19">
        <v>4.0</v>
      </c>
      <c r="C31" s="67" t="str">
        <f>'2'!J$3</f>
        <v>n.a.</v>
      </c>
      <c r="D31" s="67" t="str">
        <f>'2'!K$3</f>
        <v>n.a.</v>
      </c>
      <c r="E31" s="59" t="str">
        <f t="shared" si="18"/>
        <v>n.a. n.a.</v>
      </c>
      <c r="F31" s="59"/>
      <c r="G31" s="59"/>
      <c r="H31" s="59"/>
      <c r="I31" s="59" t="str">
        <f>IFERROR(__xludf.DUMMYFUNCTION("IFERROR(SPLIT($G31,"" ""),"""")"),"")</f>
        <v/>
      </c>
      <c r="J31" s="59"/>
      <c r="K31" s="60" t="str">
        <f t="shared" ref="K31:L31" si="24">IF(NOT(I31=""),I31,"n.a.")</f>
        <v>n.a.</v>
      </c>
      <c r="L31" s="60" t="str">
        <f t="shared" si="24"/>
        <v>n.a.</v>
      </c>
      <c r="M31" s="61">
        <v>7.0</v>
      </c>
      <c r="N31" s="62"/>
      <c r="O31" s="62"/>
      <c r="P31" s="62"/>
      <c r="Q31" s="62"/>
      <c r="R31" s="62"/>
      <c r="S31" s="62"/>
      <c r="T31" s="62"/>
      <c r="U31" s="63"/>
      <c r="V31" s="63"/>
      <c r="W31" s="63"/>
      <c r="X31" s="47"/>
      <c r="Y31" s="47"/>
      <c r="Z31" s="47"/>
    </row>
    <row r="32" ht="15.75" customHeight="1">
      <c r="A32" s="57"/>
      <c r="B32" s="15">
        <v>5.0</v>
      </c>
      <c r="C32" s="67" t="str">
        <f>'2'!L$3</f>
        <v>n.a.</v>
      </c>
      <c r="D32" s="67" t="str">
        <f>'2'!M$3</f>
        <v>n.a.</v>
      </c>
      <c r="E32" s="64" t="str">
        <f t="shared" si="18"/>
        <v>n.a. n.a.</v>
      </c>
      <c r="F32" s="64"/>
      <c r="G32" s="64"/>
      <c r="H32" s="64"/>
      <c r="I32" s="64" t="str">
        <f>IFERROR(__xludf.DUMMYFUNCTION("IFERROR(SPLIT($G32,"" ""),"""")"),"")</f>
        <v/>
      </c>
      <c r="J32" s="64"/>
      <c r="K32" s="65" t="str">
        <f t="shared" ref="K32:L32" si="25">IF(NOT(I32=""),I32,"n.a.")</f>
        <v>n.a.</v>
      </c>
      <c r="L32" s="65" t="str">
        <f t="shared" si="25"/>
        <v>n.a.</v>
      </c>
      <c r="M32" s="66">
        <v>8.0</v>
      </c>
      <c r="N32" s="55"/>
      <c r="O32" s="55"/>
      <c r="P32" s="55"/>
      <c r="Q32" s="55"/>
      <c r="R32" s="55"/>
      <c r="S32" s="55"/>
      <c r="T32" s="55"/>
      <c r="U32" s="56"/>
      <c r="V32" s="56"/>
      <c r="W32" s="56"/>
      <c r="X32" s="45"/>
      <c r="Y32" s="45"/>
      <c r="Z32" s="45"/>
    </row>
    <row r="33" ht="15.75" customHeight="1">
      <c r="A33" s="57"/>
      <c r="B33" s="19">
        <v>6.0</v>
      </c>
      <c r="C33" s="67" t="str">
        <f>'2'!N$3</f>
        <v>n.a.</v>
      </c>
      <c r="D33" s="67" t="str">
        <f>'2'!O$3</f>
        <v>n.a.</v>
      </c>
      <c r="E33" s="59" t="str">
        <f t="shared" si="18"/>
        <v>n.a. n.a.</v>
      </c>
      <c r="F33" s="59"/>
      <c r="G33" s="59"/>
      <c r="H33" s="59"/>
      <c r="I33" s="59" t="str">
        <f>IFERROR(__xludf.DUMMYFUNCTION("IFERROR(SPLIT($G33,"" ""),"""")"),"")</f>
        <v/>
      </c>
      <c r="J33" s="59"/>
      <c r="K33" s="60" t="str">
        <f t="shared" ref="K33:L33" si="26">IF(NOT(I33=""),I33,"n.a.")</f>
        <v>n.a.</v>
      </c>
      <c r="L33" s="60" t="str">
        <f t="shared" si="26"/>
        <v>n.a.</v>
      </c>
      <c r="M33" s="61">
        <v>9.0</v>
      </c>
      <c r="N33" s="62"/>
      <c r="O33" s="62"/>
      <c r="P33" s="62"/>
      <c r="Q33" s="62"/>
      <c r="R33" s="62"/>
      <c r="S33" s="62"/>
      <c r="T33" s="62"/>
      <c r="U33" s="63"/>
      <c r="V33" s="63"/>
      <c r="W33" s="63"/>
      <c r="X33" s="47"/>
      <c r="Y33" s="47"/>
      <c r="Z33" s="47"/>
    </row>
    <row r="34" ht="15.75" customHeight="1">
      <c r="A34" s="57"/>
      <c r="B34" s="15">
        <v>7.0</v>
      </c>
      <c r="C34" s="67" t="str">
        <f>'2'!P$3</f>
        <v>n.a.</v>
      </c>
      <c r="D34" s="67" t="str">
        <f>'2'!Q$3</f>
        <v>n.a.</v>
      </c>
      <c r="E34" s="64" t="str">
        <f t="shared" si="18"/>
        <v>n.a. n.a.</v>
      </c>
      <c r="F34" s="64"/>
      <c r="G34" s="64"/>
      <c r="H34" s="64"/>
      <c r="I34" s="64" t="str">
        <f>IFERROR(__xludf.DUMMYFUNCTION("IFERROR(SPLIT($G34,"" ""),"""")"),"")</f>
        <v/>
      </c>
      <c r="J34" s="64"/>
      <c r="K34" s="65"/>
      <c r="L34" s="65"/>
      <c r="M34" s="68"/>
      <c r="N34" s="55"/>
      <c r="O34" s="55"/>
      <c r="P34" s="55"/>
      <c r="Q34" s="55"/>
      <c r="R34" s="55"/>
      <c r="S34" s="55"/>
      <c r="T34" s="55"/>
      <c r="U34" s="56"/>
      <c r="V34" s="56"/>
      <c r="W34" s="56"/>
      <c r="X34" s="45"/>
      <c r="Y34" s="45"/>
      <c r="Z34" s="45"/>
    </row>
    <row r="35" ht="15.75" customHeight="1">
      <c r="A35" s="57"/>
      <c r="B35" s="19">
        <v>8.0</v>
      </c>
      <c r="C35" s="67" t="str">
        <f>'2'!R$3</f>
        <v>n.a.</v>
      </c>
      <c r="D35" s="67" t="str">
        <f>'2'!S$3</f>
        <v>n.a.</v>
      </c>
      <c r="E35" s="59" t="str">
        <f t="shared" si="18"/>
        <v>n.a. n.a.</v>
      </c>
      <c r="F35" s="59"/>
      <c r="G35" s="59"/>
      <c r="H35" s="59"/>
      <c r="I35" s="59" t="str">
        <f>IFERROR(__xludf.DUMMYFUNCTION("IFERROR(SPLIT($G35,"" ""),"""")"),"")</f>
        <v/>
      </c>
      <c r="J35" s="59"/>
      <c r="K35" s="60"/>
      <c r="L35" s="60"/>
      <c r="M35" s="69"/>
      <c r="N35" s="62"/>
      <c r="O35" s="62"/>
      <c r="P35" s="62"/>
      <c r="Q35" s="62"/>
      <c r="R35" s="62"/>
      <c r="S35" s="62"/>
      <c r="T35" s="62"/>
      <c r="U35" s="63"/>
      <c r="V35" s="63"/>
      <c r="W35" s="63"/>
      <c r="X35" s="47"/>
      <c r="Y35" s="47"/>
      <c r="Z35" s="47"/>
    </row>
    <row r="36" ht="15.75" customHeight="1">
      <c r="A36" s="70"/>
      <c r="B36" s="71">
        <v>9.0</v>
      </c>
      <c r="C36" s="72" t="str">
        <f>'2'!T$3</f>
        <v>n.a.</v>
      </c>
      <c r="D36" s="72" t="str">
        <f>'2'!U$3</f>
        <v>n.a.</v>
      </c>
      <c r="E36" s="73" t="str">
        <f t="shared" si="18"/>
        <v>n.a. n.a.</v>
      </c>
      <c r="F36" s="73"/>
      <c r="G36" s="73"/>
      <c r="H36" s="73"/>
      <c r="I36" s="64" t="str">
        <f>IFERROR(__xludf.DUMMYFUNCTION("IFERROR(SPLIT($G36,"" ""),"""")"),"")</f>
        <v/>
      </c>
      <c r="J36" s="73"/>
      <c r="K36" s="74"/>
      <c r="L36" s="74"/>
      <c r="M36" s="75"/>
      <c r="N36" s="76"/>
      <c r="O36" s="76"/>
      <c r="P36" s="76"/>
      <c r="Q36" s="76"/>
      <c r="R36" s="76"/>
      <c r="S36" s="76"/>
      <c r="T36" s="76"/>
      <c r="U36" s="77"/>
      <c r="V36" s="56"/>
      <c r="W36" s="56"/>
      <c r="X36" s="45"/>
      <c r="Y36" s="45"/>
      <c r="Z36" s="45"/>
    </row>
    <row r="37" ht="15.75" customHeight="1">
      <c r="A37" s="78">
        <v>10.0</v>
      </c>
      <c r="B37" s="79"/>
      <c r="C37" s="80" t="str">
        <f>'1'!D12</f>
        <v>Monitoring</v>
      </c>
      <c r="D37" s="81"/>
      <c r="E37" s="81"/>
      <c r="F37" s="81"/>
      <c r="G37" s="81" t="str">
        <f>IFERROR(__xludf.DUMMYFUNCTION("IFNA(UNIQUE(FILTER(C37:C46, C37:C46&lt;&gt;""n.a."")),""n.a."")"),"Monitoring")</f>
        <v>Monitoring</v>
      </c>
      <c r="H37" s="81"/>
      <c r="I37" s="82" t="str">
        <f t="shared" ref="I37:I66" si="27">G37</f>
        <v>Monitoring</v>
      </c>
      <c r="J37" s="81"/>
      <c r="K37" s="83" t="str">
        <f t="shared" ref="K37:K68" si="28">IF(NOT(I37=""),I37,"n.a.")</f>
        <v>Monitoring</v>
      </c>
      <c r="L37" s="84"/>
      <c r="M37" s="85">
        <v>1.0</v>
      </c>
      <c r="N37" s="62"/>
      <c r="O37" s="62"/>
      <c r="P37" s="62"/>
      <c r="Q37" s="62"/>
      <c r="R37" s="62"/>
      <c r="S37" s="62"/>
      <c r="T37" s="62"/>
      <c r="U37" s="63"/>
      <c r="V37" s="63"/>
      <c r="W37" s="63"/>
      <c r="X37" s="47"/>
      <c r="Y37" s="47"/>
      <c r="Z37" s="47"/>
    </row>
    <row r="38" ht="15.75" customHeight="1">
      <c r="A38" s="57"/>
      <c r="B38" s="15"/>
      <c r="C38" s="86" t="str">
        <f>'1'!E12</f>
        <v>n.a.</v>
      </c>
      <c r="D38" s="87"/>
      <c r="E38" s="87"/>
      <c r="F38" s="87"/>
      <c r="G38" s="87" t="str">
        <f>IFERROR(__xludf.DUMMYFUNCTION("""COMPUTED_VALUE"""),"Testing")</f>
        <v>Testing</v>
      </c>
      <c r="H38" s="87"/>
      <c r="I38" s="64" t="str">
        <f t="shared" si="27"/>
        <v>Testing</v>
      </c>
      <c r="J38" s="87"/>
      <c r="K38" s="65" t="str">
        <f t="shared" si="28"/>
        <v>Testing</v>
      </c>
      <c r="L38" s="88"/>
      <c r="M38" s="66">
        <v>2.0</v>
      </c>
      <c r="N38" s="55"/>
      <c r="O38" s="55"/>
      <c r="P38" s="55"/>
      <c r="Q38" s="55"/>
      <c r="R38" s="55"/>
      <c r="S38" s="55"/>
      <c r="T38" s="55"/>
      <c r="U38" s="56"/>
      <c r="V38" s="56"/>
      <c r="W38" s="56"/>
      <c r="X38" s="45"/>
      <c r="Y38" s="45"/>
      <c r="Z38" s="45"/>
    </row>
    <row r="39" ht="15.75" customHeight="1">
      <c r="A39" s="57"/>
      <c r="B39" s="19"/>
      <c r="C39" s="86" t="str">
        <f>'1'!F12</f>
        <v>n.a.</v>
      </c>
      <c r="D39" s="89"/>
      <c r="E39" s="89"/>
      <c r="F39" s="89"/>
      <c r="G39" s="89"/>
      <c r="H39" s="89"/>
      <c r="I39" s="59" t="str">
        <f t="shared" si="27"/>
        <v/>
      </c>
      <c r="J39" s="89"/>
      <c r="K39" s="60" t="str">
        <f t="shared" si="28"/>
        <v>n.a.</v>
      </c>
      <c r="L39" s="90"/>
      <c r="M39" s="61">
        <v>3.0</v>
      </c>
      <c r="N39" s="62"/>
      <c r="O39" s="62"/>
      <c r="P39" s="62"/>
      <c r="Q39" s="62"/>
      <c r="R39" s="62"/>
      <c r="S39" s="62"/>
      <c r="T39" s="62"/>
      <c r="U39" s="63"/>
      <c r="V39" s="63"/>
      <c r="W39" s="63"/>
      <c r="X39" s="47"/>
      <c r="Y39" s="47"/>
      <c r="Z39" s="47"/>
    </row>
    <row r="40" ht="15.75" customHeight="1">
      <c r="A40" s="57"/>
      <c r="B40" s="15"/>
      <c r="C40" s="86" t="str">
        <f>'1'!G12</f>
        <v>n.a.</v>
      </c>
      <c r="D40" s="87"/>
      <c r="E40" s="87"/>
      <c r="F40" s="87"/>
      <c r="G40" s="87"/>
      <c r="H40" s="87"/>
      <c r="I40" s="64" t="str">
        <f t="shared" si="27"/>
        <v/>
      </c>
      <c r="J40" s="87"/>
      <c r="K40" s="65" t="str">
        <f t="shared" si="28"/>
        <v>n.a.</v>
      </c>
      <c r="L40" s="88"/>
      <c r="M40" s="66">
        <v>4.0</v>
      </c>
      <c r="N40" s="55"/>
      <c r="O40" s="55"/>
      <c r="P40" s="55"/>
      <c r="Q40" s="55"/>
      <c r="R40" s="55"/>
      <c r="S40" s="55"/>
      <c r="T40" s="55"/>
      <c r="U40" s="56"/>
      <c r="V40" s="56"/>
      <c r="W40" s="56"/>
      <c r="X40" s="45"/>
      <c r="Y40" s="45"/>
      <c r="Z40" s="45"/>
    </row>
    <row r="41" ht="15.75" customHeight="1">
      <c r="A41" s="57"/>
      <c r="B41" s="19"/>
      <c r="C41" s="86" t="str">
        <f>'1'!H12</f>
        <v>n.a.</v>
      </c>
      <c r="D41" s="89"/>
      <c r="E41" s="89"/>
      <c r="F41" s="89"/>
      <c r="G41" s="89"/>
      <c r="H41" s="89"/>
      <c r="I41" s="59" t="str">
        <f t="shared" si="27"/>
        <v/>
      </c>
      <c r="J41" s="89"/>
      <c r="K41" s="60" t="str">
        <f t="shared" si="28"/>
        <v>n.a.</v>
      </c>
      <c r="L41" s="90"/>
      <c r="M41" s="61">
        <v>5.0</v>
      </c>
      <c r="N41" s="62"/>
      <c r="O41" s="62"/>
      <c r="P41" s="62"/>
      <c r="Q41" s="62"/>
      <c r="R41" s="62"/>
      <c r="S41" s="62"/>
      <c r="T41" s="62"/>
      <c r="U41" s="63"/>
      <c r="V41" s="63"/>
      <c r="W41" s="63"/>
      <c r="X41" s="47"/>
      <c r="Y41" s="47"/>
      <c r="Z41" s="47"/>
    </row>
    <row r="42" ht="15.75" customHeight="1">
      <c r="A42" s="57"/>
      <c r="B42" s="15"/>
      <c r="C42" s="91" t="str">
        <f>'2'!D12</f>
        <v>Testing</v>
      </c>
      <c r="D42" s="87"/>
      <c r="E42" s="87"/>
      <c r="F42" s="87"/>
      <c r="G42" s="87"/>
      <c r="H42" s="87"/>
      <c r="I42" s="64" t="str">
        <f t="shared" si="27"/>
        <v/>
      </c>
      <c r="J42" s="87"/>
      <c r="K42" s="65" t="str">
        <f t="shared" si="28"/>
        <v>n.a.</v>
      </c>
      <c r="L42" s="88"/>
      <c r="M42" s="66">
        <v>6.0</v>
      </c>
      <c r="N42" s="55"/>
      <c r="O42" s="55"/>
      <c r="P42" s="55"/>
      <c r="Q42" s="55"/>
      <c r="R42" s="55"/>
      <c r="S42" s="55"/>
      <c r="T42" s="55"/>
      <c r="U42" s="56"/>
      <c r="V42" s="56"/>
      <c r="W42" s="56"/>
      <c r="X42" s="45"/>
      <c r="Y42" s="45"/>
      <c r="Z42" s="45"/>
    </row>
    <row r="43" ht="15.75" customHeight="1">
      <c r="A43" s="57"/>
      <c r="B43" s="19"/>
      <c r="C43" s="91" t="str">
        <f>'2'!E12</f>
        <v>n.a.</v>
      </c>
      <c r="D43" s="89"/>
      <c r="E43" s="89"/>
      <c r="F43" s="89"/>
      <c r="G43" s="89"/>
      <c r="H43" s="89"/>
      <c r="I43" s="59" t="str">
        <f t="shared" si="27"/>
        <v/>
      </c>
      <c r="J43" s="89"/>
      <c r="K43" s="60" t="str">
        <f t="shared" si="28"/>
        <v>n.a.</v>
      </c>
      <c r="L43" s="90"/>
      <c r="M43" s="61">
        <v>7.0</v>
      </c>
      <c r="N43" s="62"/>
      <c r="O43" s="62"/>
      <c r="P43" s="62"/>
      <c r="Q43" s="62"/>
      <c r="R43" s="62"/>
      <c r="S43" s="62"/>
      <c r="T43" s="62"/>
      <c r="U43" s="63"/>
      <c r="V43" s="63"/>
      <c r="W43" s="63"/>
      <c r="X43" s="47"/>
      <c r="Y43" s="47"/>
      <c r="Z43" s="47"/>
    </row>
    <row r="44" ht="15.75" customHeight="1">
      <c r="A44" s="57"/>
      <c r="B44" s="15"/>
      <c r="C44" s="91" t="str">
        <f>'2'!F12</f>
        <v>n.a.</v>
      </c>
      <c r="D44" s="87"/>
      <c r="E44" s="87"/>
      <c r="F44" s="87"/>
      <c r="G44" s="87"/>
      <c r="H44" s="87"/>
      <c r="I44" s="64" t="str">
        <f t="shared" si="27"/>
        <v/>
      </c>
      <c r="J44" s="87"/>
      <c r="K44" s="65" t="str">
        <f t="shared" si="28"/>
        <v>n.a.</v>
      </c>
      <c r="L44" s="88"/>
      <c r="M44" s="66">
        <v>8.0</v>
      </c>
      <c r="N44" s="55"/>
      <c r="O44" s="55"/>
      <c r="P44" s="55"/>
      <c r="Q44" s="55"/>
      <c r="R44" s="55"/>
      <c r="S44" s="55"/>
      <c r="T44" s="55"/>
      <c r="U44" s="56"/>
      <c r="V44" s="56"/>
      <c r="W44" s="56"/>
      <c r="X44" s="45"/>
      <c r="Y44" s="45"/>
      <c r="Z44" s="45"/>
    </row>
    <row r="45" ht="15.75" customHeight="1">
      <c r="A45" s="57"/>
      <c r="B45" s="19"/>
      <c r="C45" s="91" t="str">
        <f>'2'!G12</f>
        <v>n.a.</v>
      </c>
      <c r="D45" s="89"/>
      <c r="E45" s="89"/>
      <c r="F45" s="89"/>
      <c r="G45" s="89"/>
      <c r="H45" s="89"/>
      <c r="I45" s="59" t="str">
        <f t="shared" si="27"/>
        <v/>
      </c>
      <c r="J45" s="89"/>
      <c r="K45" s="60" t="str">
        <f t="shared" si="28"/>
        <v>n.a.</v>
      </c>
      <c r="L45" s="90"/>
      <c r="M45" s="61">
        <v>9.0</v>
      </c>
      <c r="N45" s="62"/>
      <c r="O45" s="62"/>
      <c r="P45" s="62"/>
      <c r="Q45" s="62"/>
      <c r="R45" s="62"/>
      <c r="S45" s="62"/>
      <c r="T45" s="62"/>
      <c r="U45" s="63"/>
      <c r="V45" s="63"/>
      <c r="W45" s="63"/>
      <c r="X45" s="47"/>
      <c r="Y45" s="47"/>
      <c r="Z45" s="47"/>
    </row>
    <row r="46" ht="15.75" customHeight="1">
      <c r="A46" s="70"/>
      <c r="B46" s="71"/>
      <c r="C46" s="92" t="str">
        <f>'2'!H12</f>
        <v>n.a.</v>
      </c>
      <c r="D46" s="93"/>
      <c r="E46" s="93"/>
      <c r="F46" s="93"/>
      <c r="G46" s="93"/>
      <c r="H46" s="93"/>
      <c r="I46" s="73" t="str">
        <f t="shared" si="27"/>
        <v/>
      </c>
      <c r="J46" s="93"/>
      <c r="K46" s="74" t="str">
        <f t="shared" si="28"/>
        <v>n.a.</v>
      </c>
      <c r="L46" s="94"/>
      <c r="M46" s="95">
        <v>10.0</v>
      </c>
      <c r="N46" s="76"/>
      <c r="O46" s="76"/>
      <c r="P46" s="76"/>
      <c r="Q46" s="76"/>
      <c r="R46" s="76"/>
      <c r="S46" s="76"/>
      <c r="T46" s="76"/>
      <c r="U46" s="77"/>
      <c r="V46" s="56"/>
      <c r="W46" s="56"/>
      <c r="X46" s="45"/>
      <c r="Y46" s="45"/>
      <c r="Z46" s="45"/>
    </row>
    <row r="47" ht="15.75" customHeight="1">
      <c r="A47" s="78">
        <v>16.0</v>
      </c>
      <c r="B47" s="79"/>
      <c r="C47" s="80" t="str">
        <f>'1'!D18</f>
        <v>Manufacturing</v>
      </c>
      <c r="D47" s="81"/>
      <c r="E47" s="81"/>
      <c r="F47" s="81"/>
      <c r="G47" s="81" t="str">
        <f>IFERROR(__xludf.DUMMYFUNCTION("IFNA(UNIQUE(FILTER(C47:C56, C47:C56&lt;&gt;""n.a."")),""n.a."")"),"Manufacturing")</f>
        <v>Manufacturing</v>
      </c>
      <c r="H47" s="81"/>
      <c r="I47" s="82" t="str">
        <f t="shared" si="27"/>
        <v>Manufacturing</v>
      </c>
      <c r="J47" s="81"/>
      <c r="K47" s="83" t="str">
        <f t="shared" si="28"/>
        <v>Manufacturing</v>
      </c>
      <c r="L47" s="84"/>
      <c r="M47" s="85">
        <v>1.0</v>
      </c>
      <c r="N47" s="62"/>
      <c r="O47" s="62"/>
      <c r="P47" s="62"/>
      <c r="Q47" s="62"/>
      <c r="R47" s="62"/>
      <c r="S47" s="62"/>
      <c r="T47" s="62"/>
      <c r="U47" s="63"/>
      <c r="V47" s="63"/>
      <c r="W47" s="63"/>
      <c r="X47" s="47"/>
      <c r="Y47" s="47"/>
      <c r="Z47" s="47"/>
    </row>
    <row r="48" ht="15.75" customHeight="1">
      <c r="A48" s="57"/>
      <c r="B48" s="15"/>
      <c r="C48" s="86" t="str">
        <f>'1'!E18</f>
        <v>application domain independent</v>
      </c>
      <c r="D48" s="87"/>
      <c r="E48" s="87"/>
      <c r="F48" s="87"/>
      <c r="G48" s="87" t="str">
        <f>IFERROR(__xludf.DUMMYFUNCTION("""COMPUTED_VALUE"""),"application domain independent")</f>
        <v>application domain independent</v>
      </c>
      <c r="H48" s="87"/>
      <c r="I48" s="64" t="str">
        <f t="shared" si="27"/>
        <v>application domain independent</v>
      </c>
      <c r="J48" s="87"/>
      <c r="K48" s="65" t="str">
        <f t="shared" si="28"/>
        <v>application domain independent</v>
      </c>
      <c r="L48" s="88"/>
      <c r="M48" s="66">
        <v>2.0</v>
      </c>
      <c r="N48" s="55"/>
      <c r="O48" s="55"/>
      <c r="P48" s="55"/>
      <c r="Q48" s="55"/>
      <c r="R48" s="55"/>
      <c r="S48" s="55"/>
      <c r="T48" s="55"/>
      <c r="U48" s="56"/>
      <c r="V48" s="56"/>
      <c r="W48" s="56"/>
      <c r="X48" s="45"/>
      <c r="Y48" s="45"/>
      <c r="Z48" s="45"/>
    </row>
    <row r="49" ht="15.75" customHeight="1">
      <c r="A49" s="57"/>
      <c r="B49" s="19"/>
      <c r="C49" s="86" t="str">
        <f>'1'!F18</f>
        <v>n.a.</v>
      </c>
      <c r="D49" s="89"/>
      <c r="E49" s="89"/>
      <c r="F49" s="89"/>
      <c r="G49" s="89"/>
      <c r="H49" s="89"/>
      <c r="I49" s="59" t="str">
        <f t="shared" si="27"/>
        <v/>
      </c>
      <c r="J49" s="89"/>
      <c r="K49" s="60" t="str">
        <f t="shared" si="28"/>
        <v>n.a.</v>
      </c>
      <c r="L49" s="90"/>
      <c r="M49" s="61">
        <v>3.0</v>
      </c>
      <c r="N49" s="62"/>
      <c r="O49" s="62"/>
      <c r="P49" s="62"/>
      <c r="Q49" s="62"/>
      <c r="R49" s="62"/>
      <c r="S49" s="62"/>
      <c r="T49" s="62"/>
      <c r="U49" s="63"/>
      <c r="V49" s="63"/>
      <c r="W49" s="63"/>
      <c r="X49" s="47"/>
      <c r="Y49" s="47"/>
      <c r="Z49" s="47"/>
    </row>
    <row r="50" ht="15.75" customHeight="1">
      <c r="A50" s="57"/>
      <c r="B50" s="15"/>
      <c r="C50" s="86" t="str">
        <f>'1'!G18</f>
        <v>n.a.</v>
      </c>
      <c r="D50" s="87"/>
      <c r="E50" s="87"/>
      <c r="F50" s="87"/>
      <c r="G50" s="87"/>
      <c r="H50" s="87"/>
      <c r="I50" s="64" t="str">
        <f t="shared" si="27"/>
        <v/>
      </c>
      <c r="J50" s="87"/>
      <c r="K50" s="65" t="str">
        <f t="shared" si="28"/>
        <v>n.a.</v>
      </c>
      <c r="L50" s="88"/>
      <c r="M50" s="66">
        <v>4.0</v>
      </c>
      <c r="N50" s="55"/>
      <c r="O50" s="55"/>
      <c r="P50" s="55"/>
      <c r="Q50" s="55"/>
      <c r="R50" s="55"/>
      <c r="S50" s="55"/>
      <c r="T50" s="55"/>
      <c r="U50" s="56"/>
      <c r="V50" s="56"/>
      <c r="W50" s="56"/>
      <c r="X50" s="45"/>
      <c r="Y50" s="45"/>
      <c r="Z50" s="45"/>
    </row>
    <row r="51" ht="15.75" customHeight="1">
      <c r="A51" s="57"/>
      <c r="B51" s="19"/>
      <c r="C51" s="86" t="str">
        <f>'1'!H18</f>
        <v>n.a.</v>
      </c>
      <c r="D51" s="89"/>
      <c r="E51" s="89"/>
      <c r="F51" s="89"/>
      <c r="G51" s="89"/>
      <c r="H51" s="89"/>
      <c r="I51" s="59" t="str">
        <f t="shared" si="27"/>
        <v/>
      </c>
      <c r="J51" s="89"/>
      <c r="K51" s="60" t="str">
        <f t="shared" si="28"/>
        <v>n.a.</v>
      </c>
      <c r="L51" s="90"/>
      <c r="M51" s="61">
        <v>5.0</v>
      </c>
      <c r="N51" s="62"/>
      <c r="O51" s="62"/>
      <c r="P51" s="62"/>
      <c r="Q51" s="62"/>
      <c r="R51" s="62"/>
      <c r="S51" s="62"/>
      <c r="T51" s="62"/>
      <c r="U51" s="63"/>
      <c r="V51" s="63"/>
      <c r="W51" s="63"/>
      <c r="X51" s="47"/>
      <c r="Y51" s="47"/>
      <c r="Z51" s="47"/>
    </row>
    <row r="52" ht="15.75" customHeight="1">
      <c r="A52" s="57"/>
      <c r="B52" s="15"/>
      <c r="C52" s="91" t="str">
        <f>'2'!D18</f>
        <v>Manufacturing</v>
      </c>
      <c r="D52" s="87"/>
      <c r="E52" s="87"/>
      <c r="F52" s="87"/>
      <c r="G52" s="87"/>
      <c r="H52" s="87"/>
      <c r="I52" s="64" t="str">
        <f t="shared" si="27"/>
        <v/>
      </c>
      <c r="J52" s="87"/>
      <c r="K52" s="65" t="str">
        <f t="shared" si="28"/>
        <v>n.a.</v>
      </c>
      <c r="L52" s="88"/>
      <c r="M52" s="66">
        <v>6.0</v>
      </c>
      <c r="N52" s="55"/>
      <c r="O52" s="55"/>
      <c r="P52" s="55"/>
      <c r="Q52" s="55"/>
      <c r="R52" s="55"/>
      <c r="S52" s="55"/>
      <c r="T52" s="55"/>
      <c r="U52" s="56"/>
      <c r="V52" s="56"/>
      <c r="W52" s="56"/>
      <c r="X52" s="45"/>
      <c r="Y52" s="45"/>
      <c r="Z52" s="45"/>
    </row>
    <row r="53" ht="15.75" customHeight="1">
      <c r="A53" s="57"/>
      <c r="B53" s="19"/>
      <c r="C53" s="91" t="str">
        <f>'2'!E18</f>
        <v>n.a.</v>
      </c>
      <c r="D53" s="89"/>
      <c r="E53" s="89"/>
      <c r="F53" s="89"/>
      <c r="G53" s="89"/>
      <c r="H53" s="89"/>
      <c r="I53" s="59" t="str">
        <f t="shared" si="27"/>
        <v/>
      </c>
      <c r="J53" s="89"/>
      <c r="K53" s="60" t="str">
        <f t="shared" si="28"/>
        <v>n.a.</v>
      </c>
      <c r="L53" s="90"/>
      <c r="M53" s="61">
        <v>7.0</v>
      </c>
      <c r="N53" s="62"/>
      <c r="O53" s="62"/>
      <c r="P53" s="62"/>
      <c r="Q53" s="62"/>
      <c r="R53" s="62"/>
      <c r="S53" s="62"/>
      <c r="T53" s="62"/>
      <c r="U53" s="63"/>
      <c r="V53" s="63"/>
      <c r="W53" s="63"/>
      <c r="X53" s="47"/>
      <c r="Y53" s="47"/>
      <c r="Z53" s="47"/>
    </row>
    <row r="54" ht="15.75" customHeight="1">
      <c r="A54" s="57"/>
      <c r="B54" s="15"/>
      <c r="C54" s="91" t="str">
        <f>'2'!F18</f>
        <v>n.a.</v>
      </c>
      <c r="D54" s="87"/>
      <c r="E54" s="87"/>
      <c r="F54" s="87"/>
      <c r="G54" s="87"/>
      <c r="H54" s="87"/>
      <c r="I54" s="64" t="str">
        <f t="shared" si="27"/>
        <v/>
      </c>
      <c r="J54" s="87"/>
      <c r="K54" s="65" t="str">
        <f t="shared" si="28"/>
        <v>n.a.</v>
      </c>
      <c r="L54" s="88"/>
      <c r="M54" s="66">
        <v>8.0</v>
      </c>
      <c r="N54" s="55"/>
      <c r="O54" s="55"/>
      <c r="P54" s="55"/>
      <c r="Q54" s="55"/>
      <c r="R54" s="55"/>
      <c r="S54" s="55"/>
      <c r="T54" s="55"/>
      <c r="U54" s="56"/>
      <c r="V54" s="56"/>
      <c r="W54" s="56"/>
      <c r="X54" s="45"/>
      <c r="Y54" s="45"/>
      <c r="Z54" s="45"/>
    </row>
    <row r="55" ht="15.75" customHeight="1">
      <c r="A55" s="57"/>
      <c r="B55" s="19"/>
      <c r="C55" s="91" t="str">
        <f>'2'!G18</f>
        <v>n.a.</v>
      </c>
      <c r="D55" s="89"/>
      <c r="E55" s="89"/>
      <c r="F55" s="89"/>
      <c r="G55" s="89"/>
      <c r="H55" s="89"/>
      <c r="I55" s="59" t="str">
        <f t="shared" si="27"/>
        <v/>
      </c>
      <c r="J55" s="89"/>
      <c r="K55" s="60" t="str">
        <f t="shared" si="28"/>
        <v>n.a.</v>
      </c>
      <c r="L55" s="90"/>
      <c r="M55" s="61">
        <v>9.0</v>
      </c>
      <c r="N55" s="62"/>
      <c r="O55" s="62"/>
      <c r="P55" s="62"/>
      <c r="Q55" s="62"/>
      <c r="R55" s="62"/>
      <c r="S55" s="62"/>
      <c r="T55" s="62"/>
      <c r="U55" s="63"/>
      <c r="V55" s="63"/>
      <c r="W55" s="63"/>
      <c r="X55" s="47"/>
      <c r="Y55" s="47"/>
      <c r="Z55" s="47"/>
    </row>
    <row r="56" ht="15.75" customHeight="1">
      <c r="A56" s="70"/>
      <c r="B56" s="71"/>
      <c r="C56" s="92" t="str">
        <f>'2'!H18</f>
        <v>n.a.</v>
      </c>
      <c r="D56" s="93"/>
      <c r="E56" s="93"/>
      <c r="F56" s="93"/>
      <c r="G56" s="93"/>
      <c r="H56" s="93"/>
      <c r="I56" s="73" t="str">
        <f t="shared" si="27"/>
        <v/>
      </c>
      <c r="J56" s="93"/>
      <c r="K56" s="74" t="str">
        <f t="shared" si="28"/>
        <v>n.a.</v>
      </c>
      <c r="L56" s="94"/>
      <c r="M56" s="95">
        <v>10.0</v>
      </c>
      <c r="N56" s="55"/>
      <c r="O56" s="55"/>
      <c r="P56" s="55"/>
      <c r="Q56" s="55"/>
      <c r="R56" s="55"/>
      <c r="S56" s="55"/>
      <c r="T56" s="55"/>
      <c r="U56" s="56"/>
      <c r="V56" s="56"/>
      <c r="W56" s="56"/>
      <c r="X56" s="45"/>
      <c r="Y56" s="45"/>
      <c r="Z56" s="45"/>
    </row>
    <row r="57" ht="15.75" customHeight="1">
      <c r="A57" s="78">
        <v>17.0</v>
      </c>
      <c r="B57" s="79"/>
      <c r="C57" s="80" t="str">
        <f>IF(ISBLANK('1'!D19),"n.a.",'1'!D19)</f>
        <v>Automated data scoring</v>
      </c>
      <c r="D57" s="96"/>
      <c r="E57" s="96"/>
      <c r="F57" s="96"/>
      <c r="G57" s="81" t="str">
        <f>IFERROR(__xludf.DUMMYFUNCTION("IFNA(UNIQUE(FILTER(C57:C66, C57:C66&lt;&gt;""n.a."")),""n.a."")"),"Automated data scoring")</f>
        <v>Automated data scoring</v>
      </c>
      <c r="H57" s="96"/>
      <c r="I57" s="82" t="str">
        <f t="shared" si="27"/>
        <v>Automated data scoring</v>
      </c>
      <c r="J57" s="96"/>
      <c r="K57" s="83" t="str">
        <f t="shared" si="28"/>
        <v>Automated data scoring</v>
      </c>
      <c r="L57" s="97"/>
      <c r="M57" s="85">
        <v>1.0</v>
      </c>
      <c r="N57" s="62"/>
      <c r="O57" s="62"/>
      <c r="P57" s="62"/>
      <c r="Q57" s="62"/>
      <c r="R57" s="62"/>
      <c r="S57" s="62"/>
      <c r="T57" s="62"/>
      <c r="U57" s="63"/>
      <c r="V57" s="63"/>
      <c r="W57" s="63"/>
      <c r="X57" s="47"/>
      <c r="Y57" s="47"/>
      <c r="Z57" s="47"/>
    </row>
    <row r="58" ht="15.75" customHeight="1">
      <c r="A58" s="57"/>
      <c r="B58" s="15"/>
      <c r="C58" s="86" t="str">
        <f>IF(ISBLANK('1'!E19),"n.a.",'1'!E19)</f>
        <v>DataOps</v>
      </c>
      <c r="D58" s="87"/>
      <c r="E58" s="87"/>
      <c r="F58" s="87"/>
      <c r="G58" s="87" t="str">
        <f>IFERROR(__xludf.DUMMYFUNCTION("""COMPUTED_VALUE"""),"DataOps")</f>
        <v>DataOps</v>
      </c>
      <c r="H58" s="87"/>
      <c r="I58" s="64" t="str">
        <f t="shared" si="27"/>
        <v>DataOps</v>
      </c>
      <c r="J58" s="87"/>
      <c r="K58" s="65" t="str">
        <f t="shared" si="28"/>
        <v>DataOps</v>
      </c>
      <c r="L58" s="88"/>
      <c r="M58" s="66">
        <v>2.0</v>
      </c>
      <c r="N58" s="55"/>
      <c r="O58" s="55"/>
      <c r="P58" s="55"/>
      <c r="Q58" s="55"/>
      <c r="R58" s="55"/>
      <c r="S58" s="55"/>
      <c r="T58" s="55"/>
      <c r="U58" s="56"/>
      <c r="V58" s="56"/>
      <c r="W58" s="56"/>
      <c r="X58" s="45"/>
      <c r="Y58" s="45"/>
      <c r="Z58" s="45"/>
    </row>
    <row r="59" ht="15.75" customHeight="1">
      <c r="A59" s="57"/>
      <c r="B59" s="19"/>
      <c r="C59" s="86" t="str">
        <f>IF(ISBLANK('1'!F19),"n.a.",'1'!F19)</f>
        <v>data assessment</v>
      </c>
      <c r="D59" s="89"/>
      <c r="E59" s="89"/>
      <c r="F59" s="89"/>
      <c r="G59" s="89" t="str">
        <f>IFERROR(__xludf.DUMMYFUNCTION("""COMPUTED_VALUE"""),"data assessment")</f>
        <v>data assessment</v>
      </c>
      <c r="H59" s="89"/>
      <c r="I59" s="59" t="str">
        <f t="shared" si="27"/>
        <v>data assessment</v>
      </c>
      <c r="J59" s="89"/>
      <c r="K59" s="60" t="str">
        <f t="shared" si="28"/>
        <v>data assessment</v>
      </c>
      <c r="L59" s="90"/>
      <c r="M59" s="61">
        <v>3.0</v>
      </c>
      <c r="N59" s="62"/>
      <c r="O59" s="62"/>
      <c r="P59" s="62"/>
      <c r="Q59" s="62"/>
      <c r="R59" s="62"/>
      <c r="S59" s="62"/>
      <c r="T59" s="62"/>
      <c r="U59" s="63"/>
      <c r="V59" s="63"/>
      <c r="W59" s="63"/>
      <c r="X59" s="47"/>
      <c r="Y59" s="47"/>
      <c r="Z59" s="47"/>
    </row>
    <row r="60" ht="15.75" customHeight="1">
      <c r="A60" s="57"/>
      <c r="B60" s="15"/>
      <c r="C60" s="86" t="str">
        <f>IF(ISBLANK('1'!G19),"n.a.",'1'!G19)</f>
        <v>data quality dimensions</v>
      </c>
      <c r="D60" s="87"/>
      <c r="E60" s="87"/>
      <c r="F60" s="87"/>
      <c r="G60" s="87" t="str">
        <f>IFERROR(__xludf.DUMMYFUNCTION("""COMPUTED_VALUE"""),"data quality dimensions")</f>
        <v>data quality dimensions</v>
      </c>
      <c r="H60" s="87"/>
      <c r="I60" s="64" t="str">
        <f t="shared" si="27"/>
        <v>data quality dimensions</v>
      </c>
      <c r="J60" s="87"/>
      <c r="K60" s="65" t="str">
        <f t="shared" si="28"/>
        <v>data quality dimensions</v>
      </c>
      <c r="L60" s="88"/>
      <c r="M60" s="66">
        <v>4.0</v>
      </c>
      <c r="N60" s="55"/>
      <c r="O60" s="55"/>
      <c r="P60" s="55"/>
      <c r="Q60" s="55"/>
      <c r="R60" s="55"/>
      <c r="S60" s="55"/>
      <c r="T60" s="55"/>
      <c r="U60" s="56"/>
      <c r="V60" s="56"/>
      <c r="W60" s="56"/>
      <c r="X60" s="45"/>
      <c r="Y60" s="45"/>
      <c r="Z60" s="45"/>
    </row>
    <row r="61" ht="15.75" customHeight="1">
      <c r="A61" s="57"/>
      <c r="B61" s="19"/>
      <c r="C61" s="86" t="str">
        <f>IF(ISBLANK('1'!H19),"n.a.",'1'!H19)</f>
        <v>mutation testing</v>
      </c>
      <c r="D61" s="89"/>
      <c r="E61" s="89"/>
      <c r="F61" s="89"/>
      <c r="G61" s="89" t="str">
        <f>IFERROR(__xludf.DUMMYFUNCTION("""COMPUTED_VALUE"""),"mutation testing")</f>
        <v>mutation testing</v>
      </c>
      <c r="H61" s="89"/>
      <c r="I61" s="59" t="str">
        <f t="shared" si="27"/>
        <v>mutation testing</v>
      </c>
      <c r="J61" s="89"/>
      <c r="K61" s="60" t="str">
        <f t="shared" si="28"/>
        <v>mutation testing</v>
      </c>
      <c r="L61" s="90"/>
      <c r="M61" s="61">
        <v>5.0</v>
      </c>
      <c r="N61" s="62"/>
      <c r="O61" s="62"/>
      <c r="P61" s="62"/>
      <c r="Q61" s="62"/>
      <c r="R61" s="62"/>
      <c r="S61" s="62"/>
      <c r="T61" s="62"/>
      <c r="U61" s="63"/>
      <c r="V61" s="63"/>
      <c r="W61" s="63"/>
      <c r="X61" s="47"/>
      <c r="Y61" s="47"/>
      <c r="Z61" s="47"/>
    </row>
    <row r="62" ht="15.75" customHeight="1">
      <c r="A62" s="57"/>
      <c r="B62" s="15"/>
      <c r="C62" s="91" t="str">
        <f>IF(ISBLANK('2'!D19),"n.a.",'2'!D19)</f>
        <v>DataOps</v>
      </c>
      <c r="D62" s="87"/>
      <c r="E62" s="87"/>
      <c r="F62" s="87"/>
      <c r="G62" s="87"/>
      <c r="H62" s="87"/>
      <c r="I62" s="64" t="str">
        <f t="shared" si="27"/>
        <v/>
      </c>
      <c r="J62" s="87"/>
      <c r="K62" s="65" t="str">
        <f t="shared" si="28"/>
        <v>n.a.</v>
      </c>
      <c r="L62" s="88"/>
      <c r="M62" s="66">
        <v>6.0</v>
      </c>
      <c r="N62" s="55"/>
      <c r="O62" s="55"/>
      <c r="P62" s="55"/>
      <c r="Q62" s="55"/>
      <c r="R62" s="55"/>
      <c r="S62" s="55"/>
      <c r="T62" s="55"/>
      <c r="U62" s="56"/>
      <c r="V62" s="56"/>
      <c r="W62" s="56"/>
      <c r="X62" s="45"/>
      <c r="Y62" s="45"/>
      <c r="Z62" s="45"/>
    </row>
    <row r="63" ht="15.75" customHeight="1">
      <c r="A63" s="57"/>
      <c r="B63" s="19"/>
      <c r="C63" s="91" t="str">
        <f>IF(ISBLANK('2'!E19),"n.a.",'2'!E19)</f>
        <v>data assessment</v>
      </c>
      <c r="D63" s="89"/>
      <c r="E63" s="89"/>
      <c r="F63" s="89"/>
      <c r="G63" s="89"/>
      <c r="H63" s="89"/>
      <c r="I63" s="59" t="str">
        <f t="shared" si="27"/>
        <v/>
      </c>
      <c r="J63" s="89"/>
      <c r="K63" s="60" t="str">
        <f t="shared" si="28"/>
        <v>n.a.</v>
      </c>
      <c r="L63" s="90"/>
      <c r="M63" s="61">
        <v>7.0</v>
      </c>
      <c r="N63" s="62"/>
      <c r="O63" s="62"/>
      <c r="P63" s="62"/>
      <c r="Q63" s="62"/>
      <c r="R63" s="62"/>
      <c r="S63" s="62"/>
      <c r="T63" s="62"/>
      <c r="U63" s="63"/>
      <c r="V63" s="63"/>
      <c r="W63" s="63"/>
      <c r="X63" s="47"/>
      <c r="Y63" s="47"/>
      <c r="Z63" s="47"/>
    </row>
    <row r="64" ht="15.75" customHeight="1">
      <c r="A64" s="57"/>
      <c r="B64" s="15"/>
      <c r="C64" s="91" t="str">
        <f>IF(ISBLANK('2'!F19),"n.a.",'2'!F19)</f>
        <v>Automated data scoring</v>
      </c>
      <c r="D64" s="87"/>
      <c r="E64" s="87"/>
      <c r="F64" s="87"/>
      <c r="G64" s="87"/>
      <c r="H64" s="87"/>
      <c r="I64" s="64" t="str">
        <f t="shared" si="27"/>
        <v/>
      </c>
      <c r="J64" s="87"/>
      <c r="K64" s="65" t="str">
        <f t="shared" si="28"/>
        <v>n.a.</v>
      </c>
      <c r="L64" s="88"/>
      <c r="M64" s="66">
        <v>8.0</v>
      </c>
      <c r="N64" s="55"/>
      <c r="O64" s="55"/>
      <c r="P64" s="55"/>
      <c r="Q64" s="55"/>
      <c r="R64" s="55"/>
      <c r="S64" s="55"/>
      <c r="T64" s="55"/>
      <c r="U64" s="56"/>
      <c r="V64" s="56"/>
      <c r="W64" s="56"/>
      <c r="X64" s="45"/>
      <c r="Y64" s="45"/>
      <c r="Z64" s="45"/>
    </row>
    <row r="65" ht="15.75" customHeight="1">
      <c r="A65" s="57"/>
      <c r="B65" s="19"/>
      <c r="C65" s="91" t="str">
        <f>IF(ISBLANK('2'!G19),"n.a.",'2'!G19)</f>
        <v>mutation testing</v>
      </c>
      <c r="D65" s="89"/>
      <c r="E65" s="89"/>
      <c r="F65" s="89"/>
      <c r="G65" s="89"/>
      <c r="H65" s="89"/>
      <c r="I65" s="59" t="str">
        <f t="shared" si="27"/>
        <v/>
      </c>
      <c r="J65" s="89"/>
      <c r="K65" s="60" t="str">
        <f t="shared" si="28"/>
        <v>n.a.</v>
      </c>
      <c r="L65" s="90"/>
      <c r="M65" s="61">
        <v>9.0</v>
      </c>
      <c r="N65" s="62"/>
      <c r="O65" s="62"/>
      <c r="P65" s="62"/>
      <c r="Q65" s="62"/>
      <c r="R65" s="62"/>
      <c r="S65" s="62"/>
      <c r="T65" s="62"/>
      <c r="U65" s="63"/>
      <c r="V65" s="63"/>
      <c r="W65" s="63"/>
      <c r="X65" s="47"/>
      <c r="Y65" s="47"/>
      <c r="Z65" s="47"/>
    </row>
    <row r="66" ht="15.75" customHeight="1">
      <c r="A66" s="70"/>
      <c r="B66" s="71"/>
      <c r="C66" s="92" t="str">
        <f>IF(ISBLANK('2'!H19),"n.a.",'2'!H19)</f>
        <v>n.a.</v>
      </c>
      <c r="D66" s="93"/>
      <c r="E66" s="93"/>
      <c r="F66" s="93"/>
      <c r="G66" s="93"/>
      <c r="H66" s="93"/>
      <c r="I66" s="73" t="str">
        <f t="shared" si="27"/>
        <v/>
      </c>
      <c r="J66" s="93"/>
      <c r="K66" s="74" t="str">
        <f t="shared" si="28"/>
        <v>n.a.</v>
      </c>
      <c r="L66" s="94"/>
      <c r="M66" s="95">
        <v>10.0</v>
      </c>
      <c r="N66" s="55"/>
      <c r="O66" s="55"/>
      <c r="P66" s="55"/>
      <c r="Q66" s="55"/>
      <c r="R66" s="55"/>
      <c r="S66" s="55"/>
      <c r="T66" s="55"/>
      <c r="U66" s="56"/>
      <c r="V66" s="56"/>
      <c r="W66" s="56"/>
      <c r="X66" s="45"/>
      <c r="Y66" s="45"/>
      <c r="Z66" s="45"/>
    </row>
    <row r="67" ht="15.75" customHeight="1">
      <c r="A67" s="78">
        <v>13.0</v>
      </c>
      <c r="B67" s="19">
        <v>1.0</v>
      </c>
      <c r="C67" s="12" t="str">
        <f>'1'!D13</f>
        <v>Conference</v>
      </c>
      <c r="D67" s="12" t="str">
        <f>'1'!E13</f>
        <v>27th International Conference on Evaluation and Assessment in Software Engineering (EASE'23)</v>
      </c>
      <c r="E67" s="59" t="str">
        <f t="shared" ref="E67:E68" si="29">CONCATENATE(C67,"---",D67)</f>
        <v>Conference---27th International Conference on Evaluation and Assessment in Software Engineering (EASE'23)</v>
      </c>
      <c r="F67" s="59"/>
      <c r="G67" s="59" t="str">
        <f>IFERROR(__xludf.DUMMYFUNCTION("IFNA(UNIQUE(FILTER(E67:E68, E67:E68&lt;&gt;""n.a"")),""n.a."")"),"Conference---27th International Conference on Evaluation and Assessment in Software Engineering (EASE'23)")</f>
        <v>Conference---27th International Conference on Evaluation and Assessment in Software Engineering (EASE'23)</v>
      </c>
      <c r="H67" s="59"/>
      <c r="I67" s="59" t="str">
        <f>IFERROR(__xludf.DUMMYFUNCTION("IFERROR(SPLIT($G67,""---""),"""")"),"Conference")</f>
        <v>Conference</v>
      </c>
      <c r="J67" s="59" t="str">
        <f>IFERROR(__xludf.DUMMYFUNCTION("""COMPUTED_VALUE"""),"27th International Conference on Evaluation and Assessment in Software Engineering (EASE'23)")</f>
        <v>27th International Conference on Evaluation and Assessment in Software Engineering (EASE'23)</v>
      </c>
      <c r="K67" s="60" t="str">
        <f t="shared" si="28"/>
        <v>Conference</v>
      </c>
      <c r="L67" s="60" t="str">
        <f>IF(NOT(J67=""),J67,"n.a.")</f>
        <v>27th International Conference on Evaluation and Assessment in Software Engineering (EASE'23)</v>
      </c>
      <c r="M67" s="61">
        <v>1.0</v>
      </c>
      <c r="N67" s="62"/>
      <c r="O67" s="62"/>
      <c r="P67" s="62"/>
      <c r="Q67" s="62"/>
      <c r="R67" s="62"/>
      <c r="S67" s="62"/>
      <c r="T67" s="62"/>
      <c r="U67" s="63"/>
      <c r="V67" s="63"/>
      <c r="W67" s="63"/>
      <c r="X67" s="47"/>
      <c r="Y67" s="47"/>
      <c r="Z67" s="47"/>
    </row>
    <row r="68" ht="15.75" customHeight="1">
      <c r="A68" s="70"/>
      <c r="B68" s="15">
        <v>2.0</v>
      </c>
      <c r="C68" s="23" t="str">
        <f>'2'!D13</f>
        <v>Conference</v>
      </c>
      <c r="D68" s="23" t="str">
        <f>'2'!E13</f>
        <v>EASE '23: Proceedings of the 27th International Conference on Evaluation and Assessment in Software Engineering</v>
      </c>
      <c r="E68" s="64" t="str">
        <f t="shared" si="29"/>
        <v>Conference---EASE '23: Proceedings of the 27th International Conference on Evaluation and Assessment in Software Engineering</v>
      </c>
      <c r="F68" s="64"/>
      <c r="G68" s="64" t="str">
        <f>IFERROR(__xludf.DUMMYFUNCTION("""COMPUTED_VALUE"""),"Conference---EASE '23: Proceedings of the 27th International Conference on Evaluation and Assessment in Software Engineering")</f>
        <v>Conference---EASE '23: Proceedings of the 27th International Conference on Evaluation and Assessment in Software Engineering</v>
      </c>
      <c r="H68" s="64"/>
      <c r="I68" s="64" t="str">
        <f>IFERROR(__xludf.DUMMYFUNCTION("IFERROR(SPLIT($G68,""---""),"""")"),"Conference")</f>
        <v>Conference</v>
      </c>
      <c r="J68" s="64" t="str">
        <f>IFERROR(__xludf.DUMMYFUNCTION("""COMPUTED_VALUE"""),"EASE '23: Proceedings of the 27th International Conference on Evaluation and Assessment in Software Engineering")</f>
        <v>EASE '23: Proceedings of the 27th International Conference on Evaluation and Assessment in Software Engineering</v>
      </c>
      <c r="K68" s="65" t="str">
        <f t="shared" si="28"/>
        <v>Conference</v>
      </c>
      <c r="L68" s="65"/>
      <c r="M68" s="66">
        <v>2.0</v>
      </c>
      <c r="N68" s="55"/>
      <c r="O68" s="55"/>
      <c r="P68" s="55"/>
      <c r="Q68" s="55"/>
      <c r="R68" s="55"/>
      <c r="S68" s="55"/>
      <c r="T68" s="55"/>
      <c r="U68" s="56"/>
      <c r="V68" s="56"/>
      <c r="W68" s="56"/>
      <c r="X68" s="45"/>
      <c r="Y68" s="45"/>
      <c r="Z68" s="45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C14:C20 C67:D68 D3:T3 D12:L12 D18:L19">
    <cfRule type="cellIs" dxfId="0" priority="1" operator="equal">
      <formula>"n.a."</formula>
    </cfRule>
  </conditionalFormatting>
  <conditionalFormatting sqref="C3:C12 C14:C20 C67:D68 D3:T3 D12:L12 D18:L19">
    <cfRule type="cellIs" dxfId="1" priority="2" operator="equal">
      <formula>"Y"</formula>
    </cfRule>
  </conditionalFormatting>
  <conditionalFormatting sqref="C3:C12 C14:C20 C67:D68 D3:T3 D12:L12 D18:L19">
    <cfRule type="cellIs" dxfId="2" priority="3" operator="equal">
      <formula>"N"</formula>
    </cfRule>
  </conditionalFormatting>
  <conditionalFormatting sqref="C4:C12 C14:C20 C67 D12:L12 D18:L19">
    <cfRule type="cellIs" dxfId="1" priority="4" operator="greaterThan">
      <formula>0</formula>
    </cfRule>
  </conditionalFormatting>
  <conditionalFormatting sqref="C4:C12 C14:C20 C67 D12:L12 D18:L19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C14:C20 C67 D12:L12 D18:L19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 ht="15.75" customHeight="1">
      <c r="A1" s="98" t="s">
        <v>31</v>
      </c>
      <c r="B1" s="98" t="s">
        <v>0</v>
      </c>
      <c r="C1" s="99" t="s">
        <v>1</v>
      </c>
      <c r="D1" s="100"/>
      <c r="E1" s="100"/>
      <c r="F1" s="100"/>
      <c r="G1" s="100"/>
      <c r="H1" s="100"/>
      <c r="I1" s="100"/>
      <c r="J1" s="101" t="s">
        <v>2</v>
      </c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07" t="s">
        <v>33</v>
      </c>
      <c r="W2" s="108"/>
    </row>
    <row r="3" ht="70.5" customHeight="1">
      <c r="B3" s="109"/>
      <c r="C3" s="109"/>
      <c r="D3" s="110" t="s">
        <v>34</v>
      </c>
      <c r="E3" s="110" t="s">
        <v>35</v>
      </c>
      <c r="F3" s="110" t="s">
        <v>34</v>
      </c>
      <c r="G3" s="110" t="s">
        <v>36</v>
      </c>
      <c r="H3" s="110" t="s">
        <v>37</v>
      </c>
      <c r="I3" s="110" t="s">
        <v>35</v>
      </c>
      <c r="J3" s="111" t="s">
        <v>38</v>
      </c>
      <c r="K3" s="111" t="s">
        <v>38</v>
      </c>
      <c r="L3" s="111" t="s">
        <v>38</v>
      </c>
      <c r="M3" s="111" t="s">
        <v>38</v>
      </c>
      <c r="N3" s="111" t="s">
        <v>38</v>
      </c>
      <c r="O3" s="111" t="s">
        <v>38</v>
      </c>
      <c r="P3" s="111" t="s">
        <v>38</v>
      </c>
      <c r="Q3" s="111" t="s">
        <v>38</v>
      </c>
      <c r="R3" s="111" t="s">
        <v>38</v>
      </c>
      <c r="S3" s="111" t="s">
        <v>38</v>
      </c>
      <c r="T3" s="111" t="s">
        <v>38</v>
      </c>
      <c r="U3" s="111" t="s">
        <v>38</v>
      </c>
      <c r="V3" s="112"/>
      <c r="W3" s="113"/>
    </row>
    <row r="4" ht="15.75" customHeight="1">
      <c r="A4" s="103">
        <v>1.0</v>
      </c>
      <c r="B4" s="114">
        <v>2.0</v>
      </c>
      <c r="C4" s="114" t="s">
        <v>9</v>
      </c>
      <c r="D4" s="115" t="s">
        <v>39</v>
      </c>
      <c r="E4" s="116"/>
      <c r="F4" s="116"/>
      <c r="G4" s="116"/>
      <c r="H4" s="116"/>
      <c r="I4" s="116"/>
      <c r="J4" s="117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9" t="s">
        <v>40</v>
      </c>
      <c r="W4" s="120"/>
    </row>
    <row r="5" ht="15.75" customHeight="1">
      <c r="A5" s="121">
        <v>1.0</v>
      </c>
      <c r="B5" s="122">
        <v>3.0</v>
      </c>
      <c r="C5" s="122" t="s">
        <v>10</v>
      </c>
      <c r="D5" s="123" t="s">
        <v>39</v>
      </c>
      <c r="E5" s="116"/>
      <c r="F5" s="116"/>
      <c r="G5" s="116"/>
      <c r="H5" s="116"/>
      <c r="I5" s="116"/>
      <c r="J5" s="117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24" t="s">
        <v>40</v>
      </c>
      <c r="W5" s="125"/>
    </row>
    <row r="6" ht="15.75" customHeight="1">
      <c r="A6" s="103">
        <v>1.0</v>
      </c>
      <c r="B6" s="114">
        <v>4.0</v>
      </c>
      <c r="C6" s="114" t="s">
        <v>11</v>
      </c>
      <c r="D6" s="115" t="s">
        <v>39</v>
      </c>
      <c r="E6" s="116"/>
      <c r="F6" s="116"/>
      <c r="G6" s="116"/>
      <c r="H6" s="116"/>
      <c r="I6" s="116"/>
      <c r="J6" s="117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26" t="s">
        <v>40</v>
      </c>
      <c r="W6" s="120"/>
    </row>
    <row r="7" ht="15.75" customHeight="1">
      <c r="A7" s="121">
        <v>1.0</v>
      </c>
      <c r="B7" s="127">
        <v>5.0</v>
      </c>
      <c r="C7" s="127" t="s">
        <v>12</v>
      </c>
      <c r="D7" s="128" t="s">
        <v>41</v>
      </c>
      <c r="E7" s="129"/>
      <c r="F7" s="129"/>
      <c r="G7" s="129"/>
      <c r="H7" s="129"/>
      <c r="I7" s="129"/>
      <c r="J7" s="117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30" t="s">
        <v>42</v>
      </c>
      <c r="W7" s="125"/>
    </row>
    <row r="8" ht="15.75" customHeight="1">
      <c r="A8" s="103">
        <v>1.0</v>
      </c>
      <c r="B8" s="131">
        <v>6.0</v>
      </c>
      <c r="C8" s="131" t="s">
        <v>13</v>
      </c>
      <c r="D8" s="132" t="s">
        <v>39</v>
      </c>
      <c r="E8" s="129"/>
      <c r="F8" s="129"/>
      <c r="G8" s="129"/>
      <c r="H8" s="129"/>
      <c r="I8" s="129"/>
      <c r="J8" s="117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26" t="s">
        <v>40</v>
      </c>
      <c r="W8" s="120"/>
    </row>
    <row r="9" ht="15.75" customHeight="1">
      <c r="A9" s="121">
        <v>1.0</v>
      </c>
      <c r="B9" s="127">
        <v>7.0</v>
      </c>
      <c r="C9" s="127" t="s">
        <v>14</v>
      </c>
      <c r="D9" s="128" t="s">
        <v>41</v>
      </c>
      <c r="E9" s="129"/>
      <c r="F9" s="129"/>
      <c r="G9" s="129"/>
      <c r="H9" s="129"/>
      <c r="I9" s="129"/>
      <c r="J9" s="117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30" t="s">
        <v>43</v>
      </c>
      <c r="W9" s="125"/>
    </row>
    <row r="10" ht="15.75" customHeight="1">
      <c r="A10" s="103">
        <v>2.0</v>
      </c>
      <c r="B10" s="131">
        <v>8.0</v>
      </c>
      <c r="C10" s="131" t="s">
        <v>15</v>
      </c>
      <c r="D10" s="132">
        <v>1.0</v>
      </c>
      <c r="E10" s="129"/>
      <c r="F10" s="129"/>
      <c r="G10" s="129"/>
      <c r="H10" s="129"/>
      <c r="I10" s="129"/>
      <c r="J10" s="117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33" t="s">
        <v>44</v>
      </c>
      <c r="W10" s="120"/>
    </row>
    <row r="11" ht="15.75" customHeight="1">
      <c r="A11" s="121">
        <v>2.0</v>
      </c>
      <c r="B11" s="127">
        <v>9.0</v>
      </c>
      <c r="C11" s="134" t="s">
        <v>16</v>
      </c>
      <c r="D11" s="135" t="s">
        <v>39</v>
      </c>
      <c r="E11" s="129"/>
      <c r="F11" s="129"/>
      <c r="G11" s="129"/>
      <c r="H11" s="129"/>
      <c r="I11" s="129"/>
      <c r="J11" s="117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30" t="s">
        <v>45</v>
      </c>
      <c r="W11" s="125"/>
    </row>
    <row r="12" ht="15.75" customHeight="1">
      <c r="A12" s="103" t="s">
        <v>32</v>
      </c>
      <c r="B12" s="131">
        <v>10.0</v>
      </c>
      <c r="C12" s="131" t="s">
        <v>17</v>
      </c>
      <c r="D12" s="132" t="s">
        <v>46</v>
      </c>
      <c r="E12" s="136" t="s">
        <v>38</v>
      </c>
      <c r="F12" s="136" t="s">
        <v>38</v>
      </c>
      <c r="G12" s="136" t="s">
        <v>38</v>
      </c>
      <c r="H12" s="136" t="s">
        <v>38</v>
      </c>
      <c r="I12" s="129"/>
      <c r="J12" s="117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26" t="s">
        <v>40</v>
      </c>
      <c r="W12" s="120"/>
    </row>
    <row r="13" ht="15.75" customHeight="1">
      <c r="A13" s="121">
        <v>3.0</v>
      </c>
      <c r="B13" s="127">
        <v>11.0</v>
      </c>
      <c r="C13" s="127" t="s">
        <v>18</v>
      </c>
      <c r="D13" s="128" t="s">
        <v>47</v>
      </c>
      <c r="E13" s="137" t="s">
        <v>48</v>
      </c>
      <c r="F13" s="138"/>
      <c r="G13" s="138"/>
      <c r="H13" s="129"/>
      <c r="I13" s="129"/>
      <c r="J13" s="117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24" t="s">
        <v>40</v>
      </c>
      <c r="W13" s="125"/>
    </row>
    <row r="14" ht="15.75" customHeight="1">
      <c r="A14" s="103">
        <v>1.0</v>
      </c>
      <c r="B14" s="131">
        <v>12.0</v>
      </c>
      <c r="C14" s="131" t="s">
        <v>19</v>
      </c>
      <c r="D14" s="139" t="str">
        <f t="shared" ref="D14:D16" si="1">IF(G14&gt;0,"Y","N")</f>
        <v>Y</v>
      </c>
      <c r="E14" s="140">
        <f>IF(OR(EXACT(D7,"Y")),1,0)</f>
        <v>1</v>
      </c>
      <c r="F14" s="140">
        <f>IF(OR(EXACT(D9,"Y")),1,0)</f>
        <v>1</v>
      </c>
      <c r="G14" s="140">
        <f t="shared" ref="G14:G16" si="2">E14+F14</f>
        <v>2</v>
      </c>
      <c r="H14" s="141"/>
      <c r="I14" s="129"/>
      <c r="J14" s="117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26" t="s">
        <v>40</v>
      </c>
      <c r="W14" s="120"/>
    </row>
    <row r="15" ht="15.75" customHeight="1">
      <c r="A15" s="121">
        <v>1.0</v>
      </c>
      <c r="B15" s="127">
        <v>13.0</v>
      </c>
      <c r="C15" s="127" t="s">
        <v>20</v>
      </c>
      <c r="D15" s="139" t="str">
        <f t="shared" si="1"/>
        <v>N</v>
      </c>
      <c r="E15" s="142">
        <f t="shared" ref="E15:E16" si="3">IF(OR(EXACT(D4,"Y")),1,0)</f>
        <v>0</v>
      </c>
      <c r="F15" s="142">
        <f>IF(OR(EXACT(D6,"Y")),1,0)</f>
        <v>0</v>
      </c>
      <c r="G15" s="142">
        <f t="shared" si="2"/>
        <v>0</v>
      </c>
      <c r="H15" s="141"/>
      <c r="I15" s="129"/>
      <c r="J15" s="117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24" t="s">
        <v>40</v>
      </c>
      <c r="W15" s="125"/>
    </row>
    <row r="16" ht="15.75" customHeight="1">
      <c r="A16" s="103">
        <v>1.0</v>
      </c>
      <c r="B16" s="131">
        <v>14.0</v>
      </c>
      <c r="C16" s="131" t="s">
        <v>21</v>
      </c>
      <c r="D16" s="139" t="str">
        <f t="shared" si="1"/>
        <v>N</v>
      </c>
      <c r="E16" s="140">
        <f t="shared" si="3"/>
        <v>0</v>
      </c>
      <c r="F16" s="140">
        <f>IF(OR(EXACT(D8,"Y")),1,0)</f>
        <v>0</v>
      </c>
      <c r="G16" s="140">
        <f t="shared" si="2"/>
        <v>0</v>
      </c>
      <c r="H16" s="141"/>
      <c r="I16" s="129"/>
      <c r="J16" s="117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26" t="s">
        <v>40</v>
      </c>
      <c r="W16" s="120"/>
    </row>
    <row r="17" ht="15.75" customHeight="1">
      <c r="A17" s="121">
        <v>1.0</v>
      </c>
      <c r="B17" s="127">
        <v>15.0</v>
      </c>
      <c r="C17" s="127" t="s">
        <v>22</v>
      </c>
      <c r="D17" s="143" t="str">
        <f>IF(E17&gt;0,"Y","N")</f>
        <v>N</v>
      </c>
      <c r="E17" s="142">
        <f>IF(OR(AND(G14,OR(G15,G16)),AND(G15,OR(G14,G16)),AND(G16,OR(G14,G15))),1,0)</f>
        <v>0</v>
      </c>
      <c r="F17" s="144"/>
      <c r="G17" s="116"/>
      <c r="H17" s="129"/>
      <c r="I17" s="129"/>
      <c r="J17" s="117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24" t="s">
        <v>40</v>
      </c>
      <c r="W17" s="125"/>
    </row>
    <row r="18" ht="15.75" customHeight="1">
      <c r="A18" s="103">
        <v>3.0</v>
      </c>
      <c r="B18" s="145">
        <v>16.0</v>
      </c>
      <c r="C18" s="114" t="s">
        <v>23</v>
      </c>
      <c r="D18" s="115" t="s">
        <v>49</v>
      </c>
      <c r="E18" s="115" t="s">
        <v>50</v>
      </c>
      <c r="F18" s="146" t="s">
        <v>38</v>
      </c>
      <c r="G18" s="146" t="s">
        <v>38</v>
      </c>
      <c r="H18" s="146" t="s">
        <v>38</v>
      </c>
      <c r="I18" s="129"/>
      <c r="J18" s="117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26" t="s">
        <v>40</v>
      </c>
      <c r="W18" s="120"/>
    </row>
    <row r="19" ht="15.75" customHeight="1">
      <c r="A19" s="121">
        <v>3.0</v>
      </c>
      <c r="B19" s="147">
        <v>17.0</v>
      </c>
      <c r="C19" s="147" t="s">
        <v>24</v>
      </c>
      <c r="D19" s="148" t="s">
        <v>51</v>
      </c>
      <c r="E19" s="149" t="s">
        <v>52</v>
      </c>
      <c r="F19" s="150" t="s">
        <v>53</v>
      </c>
      <c r="G19" s="150" t="s">
        <v>54</v>
      </c>
      <c r="H19" s="150" t="s">
        <v>55</v>
      </c>
      <c r="I19" s="151"/>
      <c r="J19" s="117"/>
      <c r="K19" s="152"/>
      <c r="L19" s="152"/>
      <c r="M19" s="152"/>
      <c r="N19" s="152"/>
      <c r="O19" s="152"/>
      <c r="P19" s="152"/>
      <c r="Q19" s="152"/>
      <c r="R19" s="152"/>
      <c r="S19" s="152"/>
      <c r="T19" s="152"/>
      <c r="U19" s="152"/>
      <c r="V19" s="153" t="s">
        <v>40</v>
      </c>
      <c r="W19" s="113"/>
    </row>
    <row r="20" ht="15.75" customHeight="1">
      <c r="A20" s="154"/>
      <c r="B20" s="154">
        <v>18.0</v>
      </c>
      <c r="C20" s="155" t="s">
        <v>25</v>
      </c>
      <c r="D20" s="156" t="str">
        <f>IF(OR(EQ(D14,"Y"),EQ(D15,"Y"),EQ(D16,"Y"),EQ(D17,"Y")),"Y","N")</f>
        <v>Y</v>
      </c>
      <c r="E20" s="157"/>
      <c r="F20" s="157"/>
      <c r="G20" s="157"/>
      <c r="H20" s="157"/>
      <c r="I20" s="157"/>
      <c r="J20" s="117"/>
      <c r="K20" s="152"/>
      <c r="L20" s="152"/>
      <c r="M20" s="152"/>
      <c r="N20" s="152"/>
      <c r="O20" s="152"/>
      <c r="P20" s="152"/>
      <c r="Q20" s="152"/>
      <c r="R20" s="152"/>
      <c r="S20" s="152"/>
      <c r="T20" s="152"/>
      <c r="U20" s="152"/>
      <c r="V20" s="158" t="s">
        <v>40</v>
      </c>
      <c r="W20" s="108"/>
    </row>
    <row r="21" ht="15.75" customHeight="1">
      <c r="A21" s="159">
        <v>4.0</v>
      </c>
      <c r="B21" s="160">
        <v>19.0</v>
      </c>
      <c r="C21" s="160" t="s">
        <v>56</v>
      </c>
      <c r="D21" s="161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3"/>
      <c r="W21" s="164"/>
    </row>
    <row r="22" ht="15.75" customHeight="1">
      <c r="D22" s="161"/>
      <c r="E22" s="162"/>
      <c r="F22" s="162"/>
      <c r="G22" s="162"/>
      <c r="H22" s="162"/>
      <c r="I22" s="162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3"/>
      <c r="W22" s="164"/>
    </row>
    <row r="23" ht="15.75" customHeight="1">
      <c r="D23" s="161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3"/>
      <c r="W23" s="164"/>
    </row>
    <row r="24" ht="15.75" customHeight="1">
      <c r="D24" s="161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3"/>
      <c r="W24" s="164"/>
    </row>
    <row r="25" ht="15.75" customHeight="1">
      <c r="A25" s="165"/>
      <c r="B25" s="165"/>
      <c r="C25" s="165" t="s">
        <v>57</v>
      </c>
      <c r="D25" s="166" t="s">
        <v>58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ht="15.75" customHeight="1">
      <c r="A26" s="167" t="s">
        <v>59</v>
      </c>
      <c r="B26" s="167"/>
      <c r="C26" s="168"/>
      <c r="D26" s="169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70"/>
      <c r="W26" s="171"/>
    </row>
    <row r="27" ht="15.75" customHeight="1">
      <c r="A27" s="167" t="s">
        <v>60</v>
      </c>
      <c r="B27" s="167"/>
      <c r="C27" s="168"/>
      <c r="D27" s="169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70"/>
      <c r="W27" s="172"/>
    </row>
    <row r="28" ht="15.75" customHeight="1">
      <c r="A28" s="167" t="s">
        <v>61</v>
      </c>
      <c r="B28" s="167"/>
      <c r="C28" s="168"/>
      <c r="D28" s="169"/>
      <c r="E28" s="169"/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70"/>
      <c r="W28" s="172"/>
    </row>
    <row r="29" ht="15.75" customHeight="1">
      <c r="A29" s="167" t="s">
        <v>62</v>
      </c>
      <c r="B29" s="167"/>
      <c r="C29" s="168"/>
      <c r="D29" s="16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70"/>
      <c r="W29" s="172"/>
    </row>
    <row r="30" ht="15.75" customHeight="1">
      <c r="A30" s="173"/>
      <c r="B30" s="173"/>
      <c r="C30" s="174"/>
      <c r="D30" s="175"/>
      <c r="E30" s="176"/>
      <c r="F30" s="176"/>
      <c r="G30" s="176"/>
      <c r="H30" s="176"/>
      <c r="I30" s="176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</row>
    <row r="31" ht="15.75" customHeight="1">
      <c r="A31" s="177" t="s">
        <v>63</v>
      </c>
      <c r="B31" s="178"/>
      <c r="C31" s="178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13"/>
    </row>
    <row r="32" ht="15.75" customHeight="1">
      <c r="A32" s="180" t="s">
        <v>59</v>
      </c>
      <c r="B32" s="181"/>
      <c r="C32" s="180" t="s">
        <v>64</v>
      </c>
      <c r="D32" s="182"/>
      <c r="E32" s="182"/>
      <c r="F32" s="182"/>
      <c r="G32" s="182"/>
      <c r="H32" s="182"/>
      <c r="I32" s="182"/>
      <c r="J32" s="182"/>
      <c r="K32" s="182"/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108"/>
    </row>
    <row r="33" ht="15.75" customHeight="1">
      <c r="A33" s="183" t="s">
        <v>60</v>
      </c>
      <c r="B33" s="178"/>
      <c r="C33" s="183" t="s">
        <v>65</v>
      </c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13"/>
    </row>
    <row r="34" ht="15.75" customHeight="1">
      <c r="A34" s="180" t="s">
        <v>61</v>
      </c>
      <c r="B34" s="181"/>
      <c r="C34" s="180" t="s">
        <v>66</v>
      </c>
      <c r="D34" s="182"/>
      <c r="E34" s="182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S34" s="182"/>
      <c r="T34" s="182"/>
      <c r="U34" s="182"/>
      <c r="V34" s="182"/>
      <c r="W34" s="108"/>
    </row>
    <row r="35" ht="15.75" customHeight="1">
      <c r="A35" s="183" t="s">
        <v>62</v>
      </c>
      <c r="B35" s="178"/>
      <c r="C35" s="184" t="s">
        <v>67</v>
      </c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1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D30 E12:H12 E18:H18 F3 H3 J3 L3 N3 P3 R3 T3">
    <cfRule type="cellIs" dxfId="0" priority="1" operator="equal">
      <formula>"n.a."</formula>
    </cfRule>
  </conditionalFormatting>
  <conditionalFormatting sqref="D3:D18 D20 D30 E12:H12 E18:H18 F3 H3 J3 L3 N3 P3 R3 T3">
    <cfRule type="cellIs" dxfId="1" priority="2" operator="equal">
      <formula>"Y"</formula>
    </cfRule>
  </conditionalFormatting>
  <conditionalFormatting sqref="D3:D18 D20 D3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 D3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 ht="15.75" customHeight="1">
      <c r="A1" s="98" t="s">
        <v>31</v>
      </c>
      <c r="B1" s="98" t="s">
        <v>0</v>
      </c>
      <c r="C1" s="185" t="s">
        <v>1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1" t="s">
        <v>2</v>
      </c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07" t="s">
        <v>68</v>
      </c>
    </row>
    <row r="3" ht="15.75" customHeight="1">
      <c r="B3" s="109"/>
      <c r="C3" s="109"/>
      <c r="D3" s="110" t="s">
        <v>34</v>
      </c>
      <c r="E3" s="110" t="s">
        <v>35</v>
      </c>
      <c r="F3" s="110" t="s">
        <v>37</v>
      </c>
      <c r="G3" s="110" t="s">
        <v>69</v>
      </c>
      <c r="H3" s="111" t="s">
        <v>38</v>
      </c>
      <c r="I3" s="111" t="s">
        <v>38</v>
      </c>
      <c r="J3" s="111" t="s">
        <v>38</v>
      </c>
      <c r="K3" s="111" t="s">
        <v>38</v>
      </c>
      <c r="L3" s="111" t="s">
        <v>38</v>
      </c>
      <c r="M3" s="111" t="s">
        <v>38</v>
      </c>
      <c r="N3" s="111" t="s">
        <v>38</v>
      </c>
      <c r="O3" s="111" t="s">
        <v>38</v>
      </c>
      <c r="P3" s="111" t="s">
        <v>38</v>
      </c>
      <c r="Q3" s="111" t="s">
        <v>38</v>
      </c>
      <c r="R3" s="111" t="s">
        <v>38</v>
      </c>
      <c r="S3" s="111" t="s">
        <v>38</v>
      </c>
      <c r="T3" s="111" t="s">
        <v>38</v>
      </c>
      <c r="U3" s="111" t="s">
        <v>38</v>
      </c>
      <c r="V3" s="112"/>
    </row>
    <row r="4" ht="15.75" customHeight="1">
      <c r="A4" s="103">
        <v>1.0</v>
      </c>
      <c r="B4" s="186">
        <v>2.0</v>
      </c>
      <c r="C4" s="186" t="s">
        <v>9</v>
      </c>
      <c r="D4" s="146" t="s">
        <v>38</v>
      </c>
      <c r="E4" s="187"/>
      <c r="F4" s="187"/>
      <c r="G4" s="187"/>
      <c r="H4" s="187"/>
      <c r="I4" s="187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89" t="s">
        <v>40</v>
      </c>
    </row>
    <row r="5" ht="15.75" customHeight="1">
      <c r="A5" s="121">
        <v>1.0</v>
      </c>
      <c r="B5" s="190">
        <v>3.0</v>
      </c>
      <c r="C5" s="190" t="s">
        <v>10</v>
      </c>
      <c r="D5" s="191" t="s">
        <v>38</v>
      </c>
      <c r="E5" s="187"/>
      <c r="F5" s="187"/>
      <c r="G5" s="187"/>
      <c r="H5" s="187"/>
      <c r="I5" s="187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53" t="s">
        <v>40</v>
      </c>
    </row>
    <row r="6" ht="15.75" customHeight="1">
      <c r="A6" s="103">
        <v>1.0</v>
      </c>
      <c r="B6" s="186">
        <v>4.0</v>
      </c>
      <c r="C6" s="186" t="s">
        <v>11</v>
      </c>
      <c r="D6" s="146" t="s">
        <v>38</v>
      </c>
      <c r="E6" s="187"/>
      <c r="F6" s="187"/>
      <c r="G6" s="187"/>
      <c r="H6" s="187"/>
      <c r="I6" s="187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  <c r="V6" s="189" t="s">
        <v>40</v>
      </c>
    </row>
    <row r="7" ht="15.75" customHeight="1">
      <c r="A7" s="121">
        <v>1.0</v>
      </c>
      <c r="B7" s="192">
        <v>5.0</v>
      </c>
      <c r="C7" s="192" t="s">
        <v>12</v>
      </c>
      <c r="D7" s="128" t="s">
        <v>41</v>
      </c>
      <c r="E7" s="193"/>
      <c r="F7" s="193"/>
      <c r="G7" s="193"/>
      <c r="H7" s="193"/>
      <c r="I7" s="193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53" t="s">
        <v>40</v>
      </c>
    </row>
    <row r="8" ht="15.75" customHeight="1">
      <c r="A8" s="103">
        <v>1.0</v>
      </c>
      <c r="B8" s="194">
        <v>6.0</v>
      </c>
      <c r="C8" s="194" t="s">
        <v>13</v>
      </c>
      <c r="D8" s="136" t="s">
        <v>38</v>
      </c>
      <c r="E8" s="193"/>
      <c r="F8" s="193"/>
      <c r="G8" s="193"/>
      <c r="H8" s="193"/>
      <c r="I8" s="193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9" t="s">
        <v>40</v>
      </c>
    </row>
    <row r="9" ht="15.75" customHeight="1">
      <c r="A9" s="121">
        <v>1.0</v>
      </c>
      <c r="B9" s="192">
        <v>7.0</v>
      </c>
      <c r="C9" s="192" t="s">
        <v>14</v>
      </c>
      <c r="D9" s="195" t="s">
        <v>38</v>
      </c>
      <c r="E9" s="193"/>
      <c r="F9" s="193"/>
      <c r="G9" s="193"/>
      <c r="H9" s="193"/>
      <c r="I9" s="193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  <c r="V9" s="153" t="s">
        <v>40</v>
      </c>
    </row>
    <row r="10" ht="15.75" customHeight="1">
      <c r="A10" s="103">
        <v>2.0</v>
      </c>
      <c r="B10" s="194">
        <v>8.0</v>
      </c>
      <c r="C10" s="194" t="s">
        <v>15</v>
      </c>
      <c r="D10" s="132">
        <v>1.0</v>
      </c>
      <c r="E10" s="193"/>
      <c r="F10" s="193"/>
      <c r="G10" s="193"/>
      <c r="H10" s="193"/>
      <c r="I10" s="193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9" t="s">
        <v>40</v>
      </c>
    </row>
    <row r="11" ht="15.75" customHeight="1">
      <c r="A11" s="121">
        <v>2.0</v>
      </c>
      <c r="B11" s="192">
        <v>9.0</v>
      </c>
      <c r="C11" s="196" t="s">
        <v>16</v>
      </c>
      <c r="D11" s="197" t="s">
        <v>38</v>
      </c>
      <c r="E11" s="193"/>
      <c r="F11" s="193"/>
      <c r="G11" s="193"/>
      <c r="H11" s="193"/>
      <c r="I11" s="193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  <c r="V11" s="153" t="s">
        <v>40</v>
      </c>
    </row>
    <row r="12" ht="15.75" customHeight="1">
      <c r="A12" s="103" t="s">
        <v>32</v>
      </c>
      <c r="B12" s="194">
        <v>10.0</v>
      </c>
      <c r="C12" s="194" t="s">
        <v>17</v>
      </c>
      <c r="D12" s="132" t="s">
        <v>70</v>
      </c>
      <c r="E12" s="198" t="s">
        <v>38</v>
      </c>
      <c r="F12" s="198" t="s">
        <v>38</v>
      </c>
      <c r="G12" s="198" t="s">
        <v>38</v>
      </c>
      <c r="H12" s="198" t="s">
        <v>38</v>
      </c>
      <c r="I12" s="193"/>
      <c r="J12" s="188"/>
      <c r="K12" s="188"/>
      <c r="L12" s="188"/>
      <c r="M12" s="188"/>
      <c r="N12" s="188"/>
      <c r="O12" s="188"/>
      <c r="P12" s="188"/>
      <c r="Q12" s="188"/>
      <c r="R12" s="188"/>
      <c r="S12" s="188"/>
      <c r="T12" s="188"/>
      <c r="U12" s="188"/>
      <c r="V12" s="189" t="s">
        <v>40</v>
      </c>
    </row>
    <row r="13" ht="15.75" customHeight="1">
      <c r="A13" s="121">
        <v>3.0</v>
      </c>
      <c r="B13" s="192">
        <v>11.0</v>
      </c>
      <c r="C13" s="192" t="s">
        <v>18</v>
      </c>
      <c r="D13" s="128" t="s">
        <v>47</v>
      </c>
      <c r="E13" s="199" t="s">
        <v>71</v>
      </c>
      <c r="F13" s="200"/>
      <c r="G13" s="200"/>
      <c r="H13" s="193"/>
      <c r="I13" s="193"/>
      <c r="J13" s="188"/>
      <c r="K13" s="188"/>
      <c r="L13" s="188"/>
      <c r="M13" s="188"/>
      <c r="N13" s="188"/>
      <c r="O13" s="188"/>
      <c r="P13" s="188"/>
      <c r="Q13" s="188"/>
      <c r="R13" s="188"/>
      <c r="S13" s="188"/>
      <c r="T13" s="188"/>
      <c r="U13" s="188"/>
      <c r="V13" s="153" t="s">
        <v>40</v>
      </c>
    </row>
    <row r="14" ht="15.75" customHeight="1">
      <c r="A14" s="103">
        <v>1.0</v>
      </c>
      <c r="B14" s="194">
        <v>12.0</v>
      </c>
      <c r="C14" s="194" t="s">
        <v>19</v>
      </c>
      <c r="D14" s="139" t="str">
        <f t="shared" ref="D14:D16" si="1">IF(G14&gt;0,"Y","N")</f>
        <v>Y</v>
      </c>
      <c r="E14" s="201">
        <f>IF(OR(EXACT(D7,"Y")),1,0)</f>
        <v>1</v>
      </c>
      <c r="F14" s="202">
        <f>IF(OR(EXACT(D9,"Y")),1,0)</f>
        <v>0</v>
      </c>
      <c r="G14" s="202">
        <f t="shared" ref="G14:G16" si="2">E14+F14</f>
        <v>1</v>
      </c>
      <c r="H14" s="203"/>
      <c r="I14" s="193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188"/>
      <c r="V14" s="189" t="s">
        <v>40</v>
      </c>
    </row>
    <row r="15" ht="15.75" customHeight="1">
      <c r="A15" s="121">
        <v>1.0</v>
      </c>
      <c r="B15" s="192">
        <v>13.0</v>
      </c>
      <c r="C15" s="192" t="s">
        <v>20</v>
      </c>
      <c r="D15" s="139" t="str">
        <f t="shared" si="1"/>
        <v>N</v>
      </c>
      <c r="E15" s="204">
        <f t="shared" ref="E15:E16" si="3">IF(OR(EXACT(D4,"Y")),1,0)</f>
        <v>0</v>
      </c>
      <c r="F15" s="205">
        <f>IF(OR(EXACT(D6,"Y")),1,0)</f>
        <v>0</v>
      </c>
      <c r="G15" s="205">
        <f t="shared" si="2"/>
        <v>0</v>
      </c>
      <c r="H15" s="203"/>
      <c r="I15" s="193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  <c r="V15" s="153" t="s">
        <v>40</v>
      </c>
    </row>
    <row r="16" ht="15.75" customHeight="1">
      <c r="A16" s="103">
        <v>1.0</v>
      </c>
      <c r="B16" s="194">
        <v>14.0</v>
      </c>
      <c r="C16" s="194" t="s">
        <v>21</v>
      </c>
      <c r="D16" s="139" t="str">
        <f t="shared" si="1"/>
        <v>N</v>
      </c>
      <c r="E16" s="201">
        <f t="shared" si="3"/>
        <v>0</v>
      </c>
      <c r="F16" s="202">
        <f>IF(OR(EXACT(D8,"Y")),1,0)</f>
        <v>0</v>
      </c>
      <c r="G16" s="202">
        <f t="shared" si="2"/>
        <v>0</v>
      </c>
      <c r="H16" s="203"/>
      <c r="I16" s="193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188"/>
      <c r="V16" s="189" t="s">
        <v>40</v>
      </c>
    </row>
    <row r="17" ht="15.75" customHeight="1">
      <c r="A17" s="121">
        <v>1.0</v>
      </c>
      <c r="B17" s="192">
        <v>15.0</v>
      </c>
      <c r="C17" s="192" t="s">
        <v>22</v>
      </c>
      <c r="D17" s="143" t="str">
        <f>IF(E17&gt;0,"Y","N")</f>
        <v>N</v>
      </c>
      <c r="E17" s="204">
        <f>IF(OR(AND(G14,OR(G15,G16)),AND(G15,OR(G14,G16)),AND(G16,OR(G14,G15))),1,0)</f>
        <v>0</v>
      </c>
      <c r="F17" s="206"/>
      <c r="G17" s="187"/>
      <c r="H17" s="193"/>
      <c r="I17" s="193"/>
      <c r="J17" s="188"/>
      <c r="K17" s="188"/>
      <c r="L17" s="188"/>
      <c r="M17" s="188"/>
      <c r="N17" s="188"/>
      <c r="O17" s="188"/>
      <c r="P17" s="188"/>
      <c r="Q17" s="188"/>
      <c r="R17" s="188"/>
      <c r="S17" s="188"/>
      <c r="T17" s="188"/>
      <c r="U17" s="188"/>
      <c r="V17" s="153" t="s">
        <v>40</v>
      </c>
    </row>
    <row r="18" ht="15.75" customHeight="1">
      <c r="A18" s="103">
        <v>3.0</v>
      </c>
      <c r="B18" s="207">
        <v>16.0</v>
      </c>
      <c r="C18" s="186" t="s">
        <v>23</v>
      </c>
      <c r="D18" s="208" t="s">
        <v>49</v>
      </c>
      <c r="E18" s="209" t="s">
        <v>38</v>
      </c>
      <c r="F18" s="209" t="s">
        <v>38</v>
      </c>
      <c r="G18" s="209" t="s">
        <v>38</v>
      </c>
      <c r="H18" s="209" t="s">
        <v>38</v>
      </c>
      <c r="I18" s="193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  <c r="V18" s="189" t="s">
        <v>40</v>
      </c>
    </row>
    <row r="19" ht="15.75" customHeight="1">
      <c r="A19" s="121">
        <v>3.0</v>
      </c>
      <c r="B19" s="147">
        <v>17.0</v>
      </c>
      <c r="C19" s="147" t="s">
        <v>24</v>
      </c>
      <c r="D19" s="148" t="s">
        <v>52</v>
      </c>
      <c r="E19" s="148" t="s">
        <v>53</v>
      </c>
      <c r="F19" s="210" t="s">
        <v>51</v>
      </c>
      <c r="G19" s="210" t="s">
        <v>55</v>
      </c>
      <c r="H19" s="211"/>
      <c r="I19" s="211"/>
      <c r="J19" s="212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3" t="s">
        <v>40</v>
      </c>
    </row>
    <row r="20" ht="15.75" customHeight="1">
      <c r="A20" s="154"/>
      <c r="B20" s="154">
        <v>18.0</v>
      </c>
      <c r="C20" s="155" t="s">
        <v>25</v>
      </c>
      <c r="D20" s="156" t="str">
        <f>IF(OR(EQ(D14,"Y"),EQ(D15,"Y"),EQ(D16,"Y"),EQ(D17,"Y")),"Y","N")</f>
        <v>Y</v>
      </c>
      <c r="E20" s="206"/>
      <c r="F20" s="206"/>
      <c r="G20" s="206"/>
      <c r="H20" s="206"/>
      <c r="I20" s="206"/>
      <c r="J20" s="214"/>
      <c r="K20" s="214"/>
      <c r="L20" s="214"/>
      <c r="M20" s="214"/>
      <c r="N20" s="214"/>
      <c r="O20" s="214"/>
      <c r="P20" s="214"/>
      <c r="Q20" s="214"/>
      <c r="R20" s="214"/>
      <c r="S20" s="214"/>
      <c r="T20" s="214"/>
      <c r="U20" s="214"/>
      <c r="V20" s="189" t="s">
        <v>40</v>
      </c>
    </row>
    <row r="21" ht="15.75" customHeight="1">
      <c r="A21" s="159">
        <v>4.0</v>
      </c>
      <c r="B21" s="160">
        <v>19.0</v>
      </c>
      <c r="C21" s="160" t="s">
        <v>56</v>
      </c>
      <c r="D21" s="161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3"/>
    </row>
    <row r="22" ht="15.75" customHeight="1">
      <c r="D22" s="161"/>
      <c r="E22" s="162"/>
      <c r="F22" s="162"/>
      <c r="G22" s="162"/>
      <c r="H22" s="162"/>
      <c r="I22" s="162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3"/>
    </row>
    <row r="23" ht="15.75" customHeight="1">
      <c r="D23" s="161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3"/>
    </row>
    <row r="24" ht="15.75" customHeight="1">
      <c r="D24" s="161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3"/>
    </row>
    <row r="25" ht="15.75" customHeight="1">
      <c r="A25" s="165"/>
      <c r="B25" s="165"/>
      <c r="C25" s="165" t="s">
        <v>57</v>
      </c>
      <c r="D25" s="166" t="s">
        <v>72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167" t="s">
        <v>59</v>
      </c>
      <c r="B26" s="167"/>
      <c r="C26" s="168"/>
      <c r="D26" s="169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70"/>
    </row>
    <row r="27" ht="15.75" customHeight="1">
      <c r="A27" s="167" t="s">
        <v>60</v>
      </c>
      <c r="B27" s="167"/>
      <c r="C27" s="168"/>
      <c r="D27" s="169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70"/>
    </row>
    <row r="28" ht="15.75" customHeight="1">
      <c r="A28" s="167" t="s">
        <v>61</v>
      </c>
      <c r="B28" s="167"/>
      <c r="C28" s="168"/>
      <c r="D28" s="169"/>
      <c r="E28" s="169"/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70"/>
    </row>
    <row r="29" ht="15.75" customHeight="1">
      <c r="A29" s="167" t="s">
        <v>62</v>
      </c>
      <c r="B29" s="167"/>
      <c r="C29" s="168"/>
      <c r="D29" s="16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70"/>
    </row>
    <row r="30" ht="15.75" customHeight="1">
      <c r="A30" s="173"/>
      <c r="B30" s="173"/>
      <c r="C30" s="173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77" t="s">
        <v>63</v>
      </c>
      <c r="B31" s="178"/>
      <c r="C31" s="178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</row>
    <row r="32" ht="15.75" customHeight="1">
      <c r="A32" s="180" t="s">
        <v>59</v>
      </c>
      <c r="B32" s="181"/>
      <c r="C32" s="180" t="s">
        <v>64</v>
      </c>
      <c r="D32" s="182"/>
      <c r="E32" s="182"/>
      <c r="F32" s="182"/>
      <c r="G32" s="182"/>
      <c r="H32" s="182"/>
      <c r="I32" s="182"/>
      <c r="J32" s="182"/>
      <c r="K32" s="182"/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</row>
    <row r="33" ht="15.75" customHeight="1">
      <c r="A33" s="183" t="s">
        <v>60</v>
      </c>
      <c r="B33" s="178"/>
      <c r="C33" s="183" t="s">
        <v>65</v>
      </c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</row>
    <row r="34" ht="15.75" customHeight="1">
      <c r="A34" s="180" t="s">
        <v>61</v>
      </c>
      <c r="B34" s="181"/>
      <c r="C34" s="180" t="s">
        <v>66</v>
      </c>
      <c r="D34" s="182"/>
      <c r="E34" s="182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S34" s="182"/>
      <c r="T34" s="182"/>
      <c r="U34" s="182"/>
      <c r="V34" s="182"/>
    </row>
    <row r="35" ht="15.75" customHeight="1">
      <c r="A35" s="183" t="s">
        <v>62</v>
      </c>
      <c r="B35" s="178"/>
      <c r="C35" s="184" t="s">
        <v>67</v>
      </c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E12:H12 E18:H18 F3 H3 J3 L3 N3 P3 R3 T3">
    <cfRule type="cellIs" dxfId="0" priority="1" operator="equal">
      <formula>"n.a."</formula>
    </cfRule>
  </conditionalFormatting>
  <conditionalFormatting sqref="D3:D18 D20 E12:H12 E18:H18 F3 H3 J3 L3 N3 P3 R3 T3">
    <cfRule type="cellIs" dxfId="1" priority="2" operator="equal">
      <formula>"Y"</formula>
    </cfRule>
  </conditionalFormatting>
  <conditionalFormatting sqref="D3:D18 D2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 ht="15.75" customHeight="1">
      <c r="A1" s="98" t="s">
        <v>31</v>
      </c>
      <c r="B1" s="98" t="s">
        <v>0</v>
      </c>
      <c r="C1" s="185" t="s">
        <v>1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1" t="s">
        <v>2</v>
      </c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58" t="s">
        <v>73</v>
      </c>
    </row>
    <row r="3" ht="15.75" customHeight="1">
      <c r="B3" s="109"/>
      <c r="C3" s="109"/>
      <c r="D3" s="111" t="s">
        <v>38</v>
      </c>
      <c r="E3" s="111" t="s">
        <v>38</v>
      </c>
      <c r="F3" s="111" t="s">
        <v>38</v>
      </c>
      <c r="G3" s="111" t="s">
        <v>38</v>
      </c>
      <c r="H3" s="111" t="s">
        <v>38</v>
      </c>
      <c r="I3" s="111" t="s">
        <v>38</v>
      </c>
      <c r="J3" s="111" t="s">
        <v>38</v>
      </c>
      <c r="K3" s="111" t="s">
        <v>38</v>
      </c>
      <c r="L3" s="111" t="s">
        <v>38</v>
      </c>
      <c r="M3" s="111" t="s">
        <v>38</v>
      </c>
      <c r="N3" s="111" t="s">
        <v>38</v>
      </c>
      <c r="O3" s="111" t="s">
        <v>38</v>
      </c>
      <c r="P3" s="111" t="s">
        <v>38</v>
      </c>
      <c r="Q3" s="111" t="s">
        <v>38</v>
      </c>
      <c r="R3" s="111" t="s">
        <v>38</v>
      </c>
      <c r="S3" s="111" t="s">
        <v>38</v>
      </c>
      <c r="T3" s="111" t="s">
        <v>38</v>
      </c>
      <c r="U3" s="111" t="s">
        <v>38</v>
      </c>
      <c r="V3" s="112"/>
    </row>
    <row r="4" ht="15.75" customHeight="1">
      <c r="A4" s="103">
        <v>1.0</v>
      </c>
      <c r="B4" s="186">
        <v>2.0</v>
      </c>
      <c r="C4" s="186" t="s">
        <v>9</v>
      </c>
      <c r="D4" s="146" t="s">
        <v>38</v>
      </c>
      <c r="E4" s="187"/>
      <c r="F4" s="187"/>
      <c r="G4" s="187"/>
      <c r="H4" s="187"/>
      <c r="I4" s="187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89" t="s">
        <v>40</v>
      </c>
    </row>
    <row r="5" ht="15.75" customHeight="1">
      <c r="A5" s="121">
        <v>1.0</v>
      </c>
      <c r="B5" s="190">
        <v>3.0</v>
      </c>
      <c r="C5" s="190" t="s">
        <v>10</v>
      </c>
      <c r="D5" s="191" t="s">
        <v>38</v>
      </c>
      <c r="E5" s="187"/>
      <c r="F5" s="187"/>
      <c r="G5" s="187"/>
      <c r="H5" s="187"/>
      <c r="I5" s="187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53" t="s">
        <v>40</v>
      </c>
    </row>
    <row r="6" ht="15.75" customHeight="1">
      <c r="A6" s="103">
        <v>1.0</v>
      </c>
      <c r="B6" s="186">
        <v>4.0</v>
      </c>
      <c r="C6" s="186" t="s">
        <v>11</v>
      </c>
      <c r="D6" s="146" t="s">
        <v>38</v>
      </c>
      <c r="E6" s="187"/>
      <c r="F6" s="187"/>
      <c r="G6" s="187"/>
      <c r="H6" s="187"/>
      <c r="I6" s="187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  <c r="V6" s="189" t="s">
        <v>40</v>
      </c>
    </row>
    <row r="7" ht="15.75" customHeight="1">
      <c r="A7" s="121">
        <v>1.0</v>
      </c>
      <c r="B7" s="192">
        <v>5.0</v>
      </c>
      <c r="C7" s="192" t="s">
        <v>12</v>
      </c>
      <c r="D7" s="195" t="s">
        <v>38</v>
      </c>
      <c r="E7" s="193"/>
      <c r="F7" s="193"/>
      <c r="G7" s="193"/>
      <c r="H7" s="193"/>
      <c r="I7" s="193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53" t="s">
        <v>40</v>
      </c>
    </row>
    <row r="8" ht="15.75" customHeight="1">
      <c r="A8" s="103">
        <v>1.0</v>
      </c>
      <c r="B8" s="194">
        <v>6.0</v>
      </c>
      <c r="C8" s="194" t="s">
        <v>13</v>
      </c>
      <c r="D8" s="136" t="s">
        <v>38</v>
      </c>
      <c r="E8" s="193"/>
      <c r="F8" s="193"/>
      <c r="G8" s="193"/>
      <c r="H8" s="193"/>
      <c r="I8" s="193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9" t="s">
        <v>40</v>
      </c>
    </row>
    <row r="9" ht="15.75" customHeight="1">
      <c r="A9" s="121">
        <v>1.0</v>
      </c>
      <c r="B9" s="192">
        <v>7.0</v>
      </c>
      <c r="C9" s="192" t="s">
        <v>14</v>
      </c>
      <c r="D9" s="195" t="s">
        <v>38</v>
      </c>
      <c r="E9" s="193"/>
      <c r="F9" s="193"/>
      <c r="G9" s="193"/>
      <c r="H9" s="193"/>
      <c r="I9" s="193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  <c r="V9" s="153" t="s">
        <v>40</v>
      </c>
    </row>
    <row r="10" ht="15.75" customHeight="1">
      <c r="A10" s="103">
        <v>2.0</v>
      </c>
      <c r="B10" s="194">
        <v>8.0</v>
      </c>
      <c r="C10" s="194" t="s">
        <v>15</v>
      </c>
      <c r="D10" s="136" t="s">
        <v>38</v>
      </c>
      <c r="E10" s="193"/>
      <c r="F10" s="193"/>
      <c r="G10" s="193"/>
      <c r="H10" s="193"/>
      <c r="I10" s="193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9" t="s">
        <v>40</v>
      </c>
    </row>
    <row r="11" ht="15.75" customHeight="1">
      <c r="A11" s="121">
        <v>2.0</v>
      </c>
      <c r="B11" s="192">
        <v>9.0</v>
      </c>
      <c r="C11" s="196" t="s">
        <v>16</v>
      </c>
      <c r="D11" s="197" t="s">
        <v>38</v>
      </c>
      <c r="E11" s="193"/>
      <c r="F11" s="193"/>
      <c r="G11" s="193"/>
      <c r="H11" s="193"/>
      <c r="I11" s="193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  <c r="V11" s="153" t="s">
        <v>40</v>
      </c>
    </row>
    <row r="12" ht="15.75" customHeight="1">
      <c r="A12" s="103" t="s">
        <v>32</v>
      </c>
      <c r="B12" s="194">
        <v>10.0</v>
      </c>
      <c r="C12" s="194" t="s">
        <v>17</v>
      </c>
      <c r="D12" s="136" t="s">
        <v>38</v>
      </c>
      <c r="E12" s="198" t="s">
        <v>38</v>
      </c>
      <c r="F12" s="198" t="s">
        <v>38</v>
      </c>
      <c r="G12" s="198" t="s">
        <v>38</v>
      </c>
      <c r="H12" s="198" t="s">
        <v>38</v>
      </c>
      <c r="I12" s="193"/>
      <c r="J12" s="188"/>
      <c r="K12" s="188"/>
      <c r="L12" s="188"/>
      <c r="M12" s="188"/>
      <c r="N12" s="188"/>
      <c r="O12" s="188"/>
      <c r="P12" s="188"/>
      <c r="Q12" s="188"/>
      <c r="R12" s="188"/>
      <c r="S12" s="188"/>
      <c r="T12" s="188"/>
      <c r="U12" s="188"/>
      <c r="V12" s="189" t="s">
        <v>40</v>
      </c>
    </row>
    <row r="13" ht="15.75" customHeight="1">
      <c r="A13" s="121">
        <v>3.0</v>
      </c>
      <c r="B13" s="192">
        <v>11.0</v>
      </c>
      <c r="C13" s="192" t="s">
        <v>18</v>
      </c>
      <c r="D13" s="195" t="s">
        <v>38</v>
      </c>
      <c r="E13" s="215"/>
      <c r="F13" s="200"/>
      <c r="G13" s="200"/>
      <c r="H13" s="193"/>
      <c r="I13" s="193"/>
      <c r="J13" s="188"/>
      <c r="K13" s="188"/>
      <c r="L13" s="188"/>
      <c r="M13" s="188"/>
      <c r="N13" s="188"/>
      <c r="O13" s="188"/>
      <c r="P13" s="188"/>
      <c r="Q13" s="188"/>
      <c r="R13" s="188"/>
      <c r="S13" s="188"/>
      <c r="T13" s="188"/>
      <c r="U13" s="188"/>
      <c r="V13" s="153" t="s">
        <v>40</v>
      </c>
    </row>
    <row r="14" ht="15.75" customHeight="1">
      <c r="A14" s="103">
        <v>1.0</v>
      </c>
      <c r="B14" s="194">
        <v>12.0</v>
      </c>
      <c r="C14" s="194" t="s">
        <v>19</v>
      </c>
      <c r="D14" s="139" t="str">
        <f t="shared" ref="D14:D16" si="1">IF(G14&gt;0,"Y","N")</f>
        <v>N</v>
      </c>
      <c r="E14" s="201">
        <f>IF(OR(EXACT(D7,"Y")),1,0)</f>
        <v>0</v>
      </c>
      <c r="F14" s="202">
        <f>IF(OR(EXACT(D9,"Y")),1,0)</f>
        <v>0</v>
      </c>
      <c r="G14" s="202">
        <f t="shared" ref="G14:G16" si="2">E14+F14</f>
        <v>0</v>
      </c>
      <c r="H14" s="203"/>
      <c r="I14" s="193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188"/>
      <c r="V14" s="189" t="s">
        <v>40</v>
      </c>
    </row>
    <row r="15" ht="15.75" customHeight="1">
      <c r="A15" s="121">
        <v>1.0</v>
      </c>
      <c r="B15" s="192">
        <v>13.0</v>
      </c>
      <c r="C15" s="192" t="s">
        <v>20</v>
      </c>
      <c r="D15" s="139" t="str">
        <f t="shared" si="1"/>
        <v>N</v>
      </c>
      <c r="E15" s="204">
        <f t="shared" ref="E15:E16" si="3">IF(OR(EXACT(D4,"Y")),1,0)</f>
        <v>0</v>
      </c>
      <c r="F15" s="205">
        <f>IF(OR(EXACT(D6,"Y")),1,0)</f>
        <v>0</v>
      </c>
      <c r="G15" s="205">
        <f t="shared" si="2"/>
        <v>0</v>
      </c>
      <c r="H15" s="203"/>
      <c r="I15" s="193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  <c r="V15" s="153" t="s">
        <v>40</v>
      </c>
    </row>
    <row r="16" ht="15.75" customHeight="1">
      <c r="A16" s="103">
        <v>1.0</v>
      </c>
      <c r="B16" s="194">
        <v>14.0</v>
      </c>
      <c r="C16" s="194" t="s">
        <v>21</v>
      </c>
      <c r="D16" s="139" t="str">
        <f t="shared" si="1"/>
        <v>N</v>
      </c>
      <c r="E16" s="201">
        <f t="shared" si="3"/>
        <v>0</v>
      </c>
      <c r="F16" s="202">
        <f>IF(OR(EXACT(D8,"Y")),1,0)</f>
        <v>0</v>
      </c>
      <c r="G16" s="202">
        <f t="shared" si="2"/>
        <v>0</v>
      </c>
      <c r="H16" s="203"/>
      <c r="I16" s="193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188"/>
      <c r="V16" s="189" t="s">
        <v>40</v>
      </c>
    </row>
    <row r="17" ht="15.75" customHeight="1">
      <c r="A17" s="121">
        <v>1.0</v>
      </c>
      <c r="B17" s="192">
        <v>15.0</v>
      </c>
      <c r="C17" s="192" t="s">
        <v>22</v>
      </c>
      <c r="D17" s="143" t="str">
        <f>IF(E17&gt;0,"Y","N")</f>
        <v>N</v>
      </c>
      <c r="E17" s="204">
        <f>IF(OR(AND(G14,OR(G15,G16)),AND(G15,OR(G14,G16)),AND(G16,OR(G14,G15))),1,0)</f>
        <v>0</v>
      </c>
      <c r="F17" s="206"/>
      <c r="G17" s="187"/>
      <c r="H17" s="193"/>
      <c r="I17" s="193"/>
      <c r="J17" s="188"/>
      <c r="K17" s="188"/>
      <c r="L17" s="188"/>
      <c r="M17" s="188"/>
      <c r="N17" s="188"/>
      <c r="O17" s="188"/>
      <c r="P17" s="188"/>
      <c r="Q17" s="188"/>
      <c r="R17" s="188"/>
      <c r="S17" s="188"/>
      <c r="T17" s="188"/>
      <c r="U17" s="188"/>
      <c r="V17" s="153" t="s">
        <v>40</v>
      </c>
    </row>
    <row r="18" ht="15.75" customHeight="1">
      <c r="A18" s="103">
        <v>3.0</v>
      </c>
      <c r="B18" s="207">
        <v>16.0</v>
      </c>
      <c r="C18" s="186" t="s">
        <v>23</v>
      </c>
      <c r="D18" s="209" t="s">
        <v>38</v>
      </c>
      <c r="E18" s="209" t="s">
        <v>38</v>
      </c>
      <c r="F18" s="209" t="s">
        <v>38</v>
      </c>
      <c r="G18" s="209" t="s">
        <v>38</v>
      </c>
      <c r="H18" s="209" t="s">
        <v>38</v>
      </c>
      <c r="I18" s="193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  <c r="V18" s="189" t="s">
        <v>40</v>
      </c>
    </row>
    <row r="19" ht="15.75" customHeight="1">
      <c r="A19" s="121">
        <v>3.0</v>
      </c>
      <c r="B19" s="147">
        <v>17.0</v>
      </c>
      <c r="C19" s="147" t="s">
        <v>24</v>
      </c>
      <c r="D19" s="216"/>
      <c r="E19" s="216"/>
      <c r="F19" s="211"/>
      <c r="G19" s="211"/>
      <c r="H19" s="211"/>
      <c r="I19" s="211"/>
      <c r="J19" s="212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3" t="s">
        <v>40</v>
      </c>
    </row>
    <row r="20" ht="15.75" customHeight="1">
      <c r="A20" s="154"/>
      <c r="B20" s="154">
        <v>18.0</v>
      </c>
      <c r="C20" s="155" t="s">
        <v>25</v>
      </c>
      <c r="D20" s="156" t="str">
        <f>IF(OR(EQ(D14,"Y"),EQ(D15,"Y"),EQ(D16,"Y"),EQ(D17,"Y")),"Y","N")</f>
        <v>N</v>
      </c>
      <c r="E20" s="206"/>
      <c r="F20" s="206"/>
      <c r="G20" s="206"/>
      <c r="H20" s="206"/>
      <c r="I20" s="206"/>
      <c r="J20" s="214"/>
      <c r="K20" s="214"/>
      <c r="L20" s="214"/>
      <c r="M20" s="214"/>
      <c r="N20" s="214"/>
      <c r="O20" s="214"/>
      <c r="P20" s="214"/>
      <c r="Q20" s="214"/>
      <c r="R20" s="214"/>
      <c r="S20" s="214"/>
      <c r="T20" s="214"/>
      <c r="U20" s="214"/>
      <c r="V20" s="189" t="s">
        <v>40</v>
      </c>
    </row>
    <row r="21" ht="15.75" customHeight="1">
      <c r="A21" s="159">
        <v>4.0</v>
      </c>
      <c r="B21" s="160">
        <v>19.0</v>
      </c>
      <c r="C21" s="160" t="s">
        <v>56</v>
      </c>
      <c r="D21" s="161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3"/>
    </row>
    <row r="22" ht="15.75" customHeight="1">
      <c r="D22" s="161"/>
      <c r="E22" s="162"/>
      <c r="F22" s="162"/>
      <c r="G22" s="162"/>
      <c r="H22" s="162"/>
      <c r="I22" s="162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3"/>
    </row>
    <row r="23" ht="15.75" customHeight="1">
      <c r="D23" s="161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3"/>
    </row>
    <row r="24" ht="15.75" customHeight="1">
      <c r="D24" s="161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3"/>
    </row>
    <row r="25" ht="15.75" customHeight="1">
      <c r="A25" s="165"/>
      <c r="B25" s="165"/>
      <c r="C25" s="165" t="s">
        <v>57</v>
      </c>
      <c r="D25" s="165" t="s">
        <v>38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167" t="s">
        <v>59</v>
      </c>
      <c r="B26" s="167"/>
      <c r="C26" s="168"/>
      <c r="D26" s="169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70"/>
    </row>
    <row r="27" ht="15.75" customHeight="1">
      <c r="A27" s="167" t="s">
        <v>60</v>
      </c>
      <c r="B27" s="167"/>
      <c r="C27" s="168"/>
      <c r="D27" s="169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70"/>
    </row>
    <row r="28" ht="15.75" customHeight="1">
      <c r="A28" s="167" t="s">
        <v>61</v>
      </c>
      <c r="B28" s="167"/>
      <c r="C28" s="168"/>
      <c r="D28" s="169"/>
      <c r="E28" s="169"/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70"/>
    </row>
    <row r="29" ht="15.75" customHeight="1">
      <c r="A29" s="167" t="s">
        <v>62</v>
      </c>
      <c r="B29" s="167"/>
      <c r="C29" s="168"/>
      <c r="D29" s="16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70"/>
    </row>
    <row r="30" ht="15.75" customHeight="1">
      <c r="A30" s="173"/>
      <c r="B30" s="173"/>
      <c r="C30" s="173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77" t="s">
        <v>63</v>
      </c>
      <c r="B31" s="178"/>
      <c r="C31" s="178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</row>
    <row r="32" ht="15.75" customHeight="1">
      <c r="A32" s="180" t="s">
        <v>59</v>
      </c>
      <c r="B32" s="181"/>
      <c r="C32" s="180" t="s">
        <v>64</v>
      </c>
      <c r="D32" s="182"/>
      <c r="E32" s="182"/>
      <c r="F32" s="182"/>
      <c r="G32" s="182"/>
      <c r="H32" s="182"/>
      <c r="I32" s="182"/>
      <c r="J32" s="182"/>
      <c r="K32" s="182"/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</row>
    <row r="33" ht="15.75" customHeight="1">
      <c r="A33" s="183" t="s">
        <v>60</v>
      </c>
      <c r="B33" s="178"/>
      <c r="C33" s="183" t="s">
        <v>65</v>
      </c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</row>
    <row r="34" ht="15.75" customHeight="1">
      <c r="A34" s="180" t="s">
        <v>61</v>
      </c>
      <c r="B34" s="181"/>
      <c r="C34" s="180" t="s">
        <v>66</v>
      </c>
      <c r="D34" s="182"/>
      <c r="E34" s="182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S34" s="182"/>
      <c r="T34" s="182"/>
      <c r="U34" s="182"/>
      <c r="V34" s="182"/>
    </row>
    <row r="35" ht="15.75" customHeight="1">
      <c r="A35" s="183" t="s">
        <v>62</v>
      </c>
      <c r="B35" s="178"/>
      <c r="C35" s="184" t="s">
        <v>67</v>
      </c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E12:H12 E18:H18 F3 H3 J3 L3 N3 P3 R3 T3">
    <cfRule type="cellIs" dxfId="0" priority="1" operator="equal">
      <formula>"n.a."</formula>
    </cfRule>
  </conditionalFormatting>
  <conditionalFormatting sqref="D3:D18 D20 E12:H12 E18:H18 F3 H3 J3 L3 N3 P3 R3 T3">
    <cfRule type="cellIs" dxfId="1" priority="2" operator="equal">
      <formula>"Y"</formula>
    </cfRule>
  </conditionalFormatting>
  <conditionalFormatting sqref="D3:D18 D2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