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O&amp;M\NCC Automations\In Progress\Performance Analysis - Python\Brandon\Python Switch\Also Energy Sites\"/>
    </mc:Choice>
  </mc:AlternateContent>
  <xr:revisionPtr revIDLastSave="0" documentId="13_ncr:1_{1C5E545D-B8AB-456F-BAD3-D2FA883666F2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Main" sheetId="1" r:id="rId1"/>
    <sheet name="Bluebird" sheetId="2" r:id="rId2"/>
    <sheet name="Cardinal" sheetId="3" r:id="rId3"/>
    <sheet name="Cherry" sheetId="4" r:id="rId4"/>
    <sheet name="Cougar" sheetId="5" r:id="rId5"/>
    <sheet name="Harrison" sheetId="6" r:id="rId6"/>
    <sheet name="Hayes" sheetId="7" r:id="rId7"/>
    <sheet name="Hickory" sheetId="8" r:id="rId8"/>
    <sheet name="Violet" sheetId="9" r:id="rId9"/>
    <sheet name="Wellon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10" l="1"/>
  <c r="E32" i="10"/>
  <c r="C32" i="10"/>
  <c r="B32" i="10"/>
  <c r="J31" i="10"/>
  <c r="I31" i="10"/>
  <c r="H31" i="10"/>
  <c r="G31" i="10"/>
  <c r="F31" i="10"/>
  <c r="D31" i="10"/>
  <c r="A31" i="10"/>
  <c r="M31" i="10" s="1"/>
  <c r="O30" i="10"/>
  <c r="J30" i="10"/>
  <c r="I30" i="10"/>
  <c r="N30" i="10" s="1"/>
  <c r="H30" i="10"/>
  <c r="G30" i="10"/>
  <c r="F30" i="10"/>
  <c r="D30" i="10"/>
  <c r="A30" i="10"/>
  <c r="M30" i="10" s="1"/>
  <c r="O29" i="10"/>
  <c r="N29" i="10"/>
  <c r="J29" i="10"/>
  <c r="I29" i="10"/>
  <c r="H29" i="10"/>
  <c r="G29" i="10"/>
  <c r="F29" i="10"/>
  <c r="D29" i="10"/>
  <c r="A29" i="10"/>
  <c r="M29" i="10" s="1"/>
  <c r="J28" i="10"/>
  <c r="I28" i="10"/>
  <c r="H28" i="10"/>
  <c r="G28" i="10"/>
  <c r="F28" i="10"/>
  <c r="D28" i="10"/>
  <c r="A28" i="10"/>
  <c r="M28" i="10" s="1"/>
  <c r="H27" i="10"/>
  <c r="F27" i="10"/>
  <c r="J27" i="10" s="1"/>
  <c r="D27" i="10" s="1"/>
  <c r="I27" i="10" s="1"/>
  <c r="N27" i="10" s="1"/>
  <c r="A27" i="10"/>
  <c r="M27" i="10" s="1"/>
  <c r="N26" i="10"/>
  <c r="J26" i="10"/>
  <c r="I26" i="10"/>
  <c r="O26" i="10" s="1"/>
  <c r="H26" i="10"/>
  <c r="G26" i="10"/>
  <c r="F26" i="10"/>
  <c r="D26" i="10"/>
  <c r="A26" i="10"/>
  <c r="M26" i="10" s="1"/>
  <c r="J25" i="10"/>
  <c r="I25" i="10"/>
  <c r="H25" i="10"/>
  <c r="G25" i="10"/>
  <c r="F25" i="10"/>
  <c r="D25" i="10"/>
  <c r="A25" i="10"/>
  <c r="M25" i="10" s="1"/>
  <c r="J24" i="10"/>
  <c r="I24" i="10"/>
  <c r="N24" i="10" s="1"/>
  <c r="H24" i="10"/>
  <c r="G24" i="10"/>
  <c r="F24" i="10"/>
  <c r="D24" i="10"/>
  <c r="A24" i="10"/>
  <c r="M24" i="10" s="1"/>
  <c r="O23" i="10"/>
  <c r="J23" i="10"/>
  <c r="I23" i="10"/>
  <c r="N23" i="10" s="1"/>
  <c r="H23" i="10"/>
  <c r="G23" i="10"/>
  <c r="F23" i="10"/>
  <c r="D23" i="10"/>
  <c r="A23" i="10"/>
  <c r="M23" i="10" s="1"/>
  <c r="J22" i="10"/>
  <c r="I22" i="10"/>
  <c r="H22" i="10"/>
  <c r="G22" i="10"/>
  <c r="F22" i="10"/>
  <c r="D22" i="10"/>
  <c r="A22" i="10"/>
  <c r="M22" i="10" s="1"/>
  <c r="J21" i="10"/>
  <c r="I21" i="10"/>
  <c r="N21" i="10" s="1"/>
  <c r="H21" i="10"/>
  <c r="G21" i="10"/>
  <c r="F21" i="10"/>
  <c r="D21" i="10"/>
  <c r="A21" i="10"/>
  <c r="M21" i="10" s="1"/>
  <c r="O20" i="10"/>
  <c r="N20" i="10"/>
  <c r="M20" i="10"/>
  <c r="J20" i="10"/>
  <c r="I20" i="10"/>
  <c r="H20" i="10"/>
  <c r="G20" i="10"/>
  <c r="F20" i="10"/>
  <c r="D20" i="10"/>
  <c r="D32" i="10" s="1"/>
  <c r="A20" i="10"/>
  <c r="N18" i="10"/>
  <c r="D16" i="10" a="1"/>
  <c r="D16" i="10" s="1"/>
  <c r="F4" i="10"/>
  <c r="K32" i="9"/>
  <c r="E32" i="9"/>
  <c r="C32" i="9"/>
  <c r="B32" i="9"/>
  <c r="O31" i="9"/>
  <c r="N31" i="9"/>
  <c r="J31" i="9"/>
  <c r="I31" i="9"/>
  <c r="H31" i="9"/>
  <c r="G31" i="9"/>
  <c r="F31" i="9"/>
  <c r="D31" i="9"/>
  <c r="A31" i="9"/>
  <c r="M31" i="9" s="1"/>
  <c r="J30" i="9"/>
  <c r="I30" i="9"/>
  <c r="N30" i="9" s="1"/>
  <c r="H30" i="9"/>
  <c r="G30" i="9"/>
  <c r="F30" i="9"/>
  <c r="D30" i="9"/>
  <c r="A30" i="9"/>
  <c r="M30" i="9" s="1"/>
  <c r="J29" i="9"/>
  <c r="I29" i="9"/>
  <c r="H29" i="9"/>
  <c r="G29" i="9"/>
  <c r="F29" i="9"/>
  <c r="D29" i="9"/>
  <c r="A29" i="9"/>
  <c r="M29" i="9" s="1"/>
  <c r="N28" i="9"/>
  <c r="J28" i="9"/>
  <c r="I28" i="9"/>
  <c r="O28" i="9" s="1"/>
  <c r="H28" i="9"/>
  <c r="G28" i="9"/>
  <c r="F28" i="9"/>
  <c r="D28" i="9"/>
  <c r="A28" i="9"/>
  <c r="M28" i="9" s="1"/>
  <c r="M27" i="9"/>
  <c r="J27" i="9"/>
  <c r="D27" i="9" s="1"/>
  <c r="H27" i="9"/>
  <c r="F27" i="9"/>
  <c r="A27" i="9"/>
  <c r="J26" i="9"/>
  <c r="I26" i="9"/>
  <c r="H26" i="9"/>
  <c r="G26" i="9"/>
  <c r="F26" i="9"/>
  <c r="D26" i="9"/>
  <c r="A26" i="9"/>
  <c r="M26" i="9" s="1"/>
  <c r="O25" i="9"/>
  <c r="M25" i="9"/>
  <c r="J25" i="9"/>
  <c r="I25" i="9"/>
  <c r="N25" i="9" s="1"/>
  <c r="H25" i="9"/>
  <c r="G25" i="9"/>
  <c r="F25" i="9"/>
  <c r="D25" i="9"/>
  <c r="A25" i="9"/>
  <c r="J24" i="9"/>
  <c r="I24" i="9"/>
  <c r="N24" i="9" s="1"/>
  <c r="H24" i="9"/>
  <c r="G24" i="9"/>
  <c r="F24" i="9"/>
  <c r="D24" i="9"/>
  <c r="A24" i="9"/>
  <c r="M24" i="9" s="1"/>
  <c r="J23" i="9"/>
  <c r="I23" i="9"/>
  <c r="H23" i="9"/>
  <c r="G23" i="9"/>
  <c r="F23" i="9"/>
  <c r="D23" i="9"/>
  <c r="A23" i="9"/>
  <c r="M23" i="9" s="1"/>
  <c r="O22" i="9"/>
  <c r="M22" i="9"/>
  <c r="J22" i="9"/>
  <c r="I22" i="9"/>
  <c r="N22" i="9" s="1"/>
  <c r="H22" i="9"/>
  <c r="G22" i="9"/>
  <c r="F22" i="9"/>
  <c r="D22" i="9"/>
  <c r="A22" i="9"/>
  <c r="J21" i="9"/>
  <c r="I21" i="9"/>
  <c r="N21" i="9" s="1"/>
  <c r="H21" i="9"/>
  <c r="G21" i="9"/>
  <c r="F21" i="9"/>
  <c r="D21" i="9"/>
  <c r="A21" i="9"/>
  <c r="M21" i="9" s="1"/>
  <c r="J20" i="9"/>
  <c r="I20" i="9"/>
  <c r="H20" i="9"/>
  <c r="G20" i="9"/>
  <c r="F20" i="9"/>
  <c r="D20" i="9"/>
  <c r="A20" i="9"/>
  <c r="M20" i="9" s="1"/>
  <c r="N18" i="9"/>
  <c r="D16" i="9" a="1"/>
  <c r="D16" i="9" s="1"/>
  <c r="F4" i="9"/>
  <c r="K32" i="8"/>
  <c r="E32" i="8"/>
  <c r="C32" i="8"/>
  <c r="B32" i="8"/>
  <c r="J31" i="8"/>
  <c r="I31" i="8"/>
  <c r="H31" i="8"/>
  <c r="G31" i="8"/>
  <c r="F31" i="8"/>
  <c r="D31" i="8"/>
  <c r="A31" i="8"/>
  <c r="M31" i="8" s="1"/>
  <c r="J30" i="8"/>
  <c r="I30" i="8"/>
  <c r="N30" i="8" s="1"/>
  <c r="H30" i="8"/>
  <c r="G30" i="8"/>
  <c r="F30" i="8"/>
  <c r="D30" i="8"/>
  <c r="A30" i="8"/>
  <c r="M30" i="8" s="1"/>
  <c r="J29" i="8"/>
  <c r="I29" i="8"/>
  <c r="N29" i="8" s="1"/>
  <c r="H29" i="8"/>
  <c r="G29" i="8"/>
  <c r="F29" i="8"/>
  <c r="D29" i="8"/>
  <c r="A29" i="8"/>
  <c r="M29" i="8" s="1"/>
  <c r="J28" i="8"/>
  <c r="I28" i="8"/>
  <c r="H28" i="8"/>
  <c r="G28" i="8"/>
  <c r="F28" i="8"/>
  <c r="D28" i="8"/>
  <c r="A28" i="8"/>
  <c r="M28" i="8" s="1"/>
  <c r="H27" i="8"/>
  <c r="F27" i="8"/>
  <c r="J27" i="8" s="1"/>
  <c r="D27" i="8" s="1"/>
  <c r="I27" i="8" s="1"/>
  <c r="O27" i="8" s="1"/>
  <c r="A27" i="8"/>
  <c r="M27" i="8" s="1"/>
  <c r="O26" i="8"/>
  <c r="J26" i="8"/>
  <c r="I26" i="8"/>
  <c r="N26" i="8" s="1"/>
  <c r="H26" i="8"/>
  <c r="G26" i="8"/>
  <c r="F26" i="8"/>
  <c r="D26" i="8"/>
  <c r="A26" i="8"/>
  <c r="M26" i="8" s="1"/>
  <c r="J25" i="8"/>
  <c r="I25" i="8"/>
  <c r="H25" i="8"/>
  <c r="G25" i="8"/>
  <c r="F25" i="8"/>
  <c r="D25" i="8"/>
  <c r="A25" i="8"/>
  <c r="M25" i="8" s="1"/>
  <c r="J24" i="8"/>
  <c r="I24" i="8"/>
  <c r="O24" i="8" s="1"/>
  <c r="H24" i="8"/>
  <c r="G24" i="8"/>
  <c r="F24" i="8"/>
  <c r="D24" i="8"/>
  <c r="A24" i="8"/>
  <c r="M24" i="8" s="1"/>
  <c r="J23" i="8"/>
  <c r="I23" i="8"/>
  <c r="O23" i="8" s="1"/>
  <c r="H23" i="8"/>
  <c r="G23" i="8"/>
  <c r="F23" i="8"/>
  <c r="D23" i="8"/>
  <c r="A23" i="8"/>
  <c r="M23" i="8" s="1"/>
  <c r="J22" i="8"/>
  <c r="I22" i="8"/>
  <c r="O22" i="8" s="1"/>
  <c r="H22" i="8"/>
  <c r="G22" i="8"/>
  <c r="F22" i="8"/>
  <c r="D22" i="8"/>
  <c r="A22" i="8"/>
  <c r="M22" i="8" s="1"/>
  <c r="J21" i="8"/>
  <c r="I21" i="8"/>
  <c r="O21" i="8" s="1"/>
  <c r="H21" i="8"/>
  <c r="G21" i="8"/>
  <c r="F21" i="8"/>
  <c r="D21" i="8"/>
  <c r="A21" i="8"/>
  <c r="M21" i="8" s="1"/>
  <c r="J20" i="8"/>
  <c r="I20" i="8"/>
  <c r="N20" i="8" s="1"/>
  <c r="H20" i="8"/>
  <c r="G20" i="8"/>
  <c r="F20" i="8"/>
  <c r="D20" i="8"/>
  <c r="A20" i="8"/>
  <c r="M20" i="8" s="1"/>
  <c r="N18" i="8"/>
  <c r="D16" i="8" a="1"/>
  <c r="D16" i="8" s="1"/>
  <c r="F4" i="8"/>
  <c r="K32" i="7"/>
  <c r="E32" i="7"/>
  <c r="C32" i="7"/>
  <c r="B32" i="7"/>
  <c r="J31" i="7"/>
  <c r="I31" i="7"/>
  <c r="O31" i="7" s="1"/>
  <c r="H31" i="7"/>
  <c r="G31" i="7"/>
  <c r="F31" i="7"/>
  <c r="D31" i="7"/>
  <c r="A31" i="7"/>
  <c r="M31" i="7" s="1"/>
  <c r="O30" i="7"/>
  <c r="J30" i="7"/>
  <c r="I30" i="7"/>
  <c r="N30" i="7" s="1"/>
  <c r="H30" i="7"/>
  <c r="G30" i="7"/>
  <c r="F30" i="7"/>
  <c r="D30" i="7"/>
  <c r="A30" i="7"/>
  <c r="M30" i="7" s="1"/>
  <c r="J29" i="7"/>
  <c r="I29" i="7"/>
  <c r="N29" i="7" s="1"/>
  <c r="H29" i="7"/>
  <c r="G29" i="7"/>
  <c r="F29" i="7"/>
  <c r="D29" i="7"/>
  <c r="A29" i="7"/>
  <c r="M29" i="7" s="1"/>
  <c r="O28" i="7"/>
  <c r="M28" i="7"/>
  <c r="J28" i="7"/>
  <c r="I28" i="7"/>
  <c r="N28" i="7" s="1"/>
  <c r="H28" i="7"/>
  <c r="G28" i="7"/>
  <c r="F28" i="7"/>
  <c r="D28" i="7"/>
  <c r="A28" i="7"/>
  <c r="J27" i="7"/>
  <c r="H27" i="7"/>
  <c r="F27" i="7"/>
  <c r="A27" i="7"/>
  <c r="M27" i="7" s="1"/>
  <c r="M26" i="7"/>
  <c r="J26" i="7"/>
  <c r="I26" i="7"/>
  <c r="N26" i="7" s="1"/>
  <c r="H26" i="7"/>
  <c r="A16" i="7" s="1" a="1"/>
  <c r="A16" i="7" s="1"/>
  <c r="G16" i="7" s="1"/>
  <c r="G26" i="7"/>
  <c r="F26" i="7"/>
  <c r="D26" i="7"/>
  <c r="A26" i="7"/>
  <c r="J25" i="7"/>
  <c r="I25" i="7"/>
  <c r="N25" i="7" s="1"/>
  <c r="H25" i="7"/>
  <c r="G25" i="7"/>
  <c r="F25" i="7"/>
  <c r="D25" i="7"/>
  <c r="A25" i="7"/>
  <c r="M25" i="7" s="1"/>
  <c r="J24" i="7"/>
  <c r="I24" i="7"/>
  <c r="N24" i="7" s="1"/>
  <c r="H24" i="7"/>
  <c r="G24" i="7"/>
  <c r="F24" i="7"/>
  <c r="D24" i="7"/>
  <c r="A24" i="7"/>
  <c r="M24" i="7" s="1"/>
  <c r="M23" i="7"/>
  <c r="J23" i="7"/>
  <c r="I23" i="7"/>
  <c r="N23" i="7" s="1"/>
  <c r="H23" i="7"/>
  <c r="G23" i="7"/>
  <c r="F23" i="7"/>
  <c r="D23" i="7"/>
  <c r="A23" i="7"/>
  <c r="J22" i="7"/>
  <c r="I22" i="7"/>
  <c r="N22" i="7" s="1"/>
  <c r="H22" i="7"/>
  <c r="G22" i="7"/>
  <c r="F22" i="7"/>
  <c r="D22" i="7"/>
  <c r="A22" i="7"/>
  <c r="M22" i="7" s="1"/>
  <c r="O21" i="7"/>
  <c r="J21" i="7"/>
  <c r="I21" i="7"/>
  <c r="N21" i="7" s="1"/>
  <c r="H21" i="7"/>
  <c r="G21" i="7"/>
  <c r="F21" i="7"/>
  <c r="D21" i="7"/>
  <c r="A21" i="7"/>
  <c r="M21" i="7" s="1"/>
  <c r="J20" i="7"/>
  <c r="I20" i="7"/>
  <c r="N20" i="7" s="1"/>
  <c r="H20" i="7"/>
  <c r="G20" i="7"/>
  <c r="F20" i="7"/>
  <c r="D20" i="7"/>
  <c r="A20" i="7"/>
  <c r="M20" i="7" s="1"/>
  <c r="N18" i="7"/>
  <c r="D16" i="7" a="1"/>
  <c r="D16" i="7" s="1"/>
  <c r="F4" i="7"/>
  <c r="K32" i="6"/>
  <c r="E32" i="6"/>
  <c r="C32" i="6"/>
  <c r="B32" i="6"/>
  <c r="N31" i="6"/>
  <c r="J31" i="6"/>
  <c r="I31" i="6"/>
  <c r="O31" i="6" s="1"/>
  <c r="H31" i="6"/>
  <c r="G31" i="6"/>
  <c r="F31" i="6"/>
  <c r="D31" i="6"/>
  <c r="A31" i="6"/>
  <c r="M31" i="6" s="1"/>
  <c r="O30" i="6"/>
  <c r="N30" i="6"/>
  <c r="J30" i="6"/>
  <c r="I30" i="6"/>
  <c r="H30" i="6"/>
  <c r="G30" i="6"/>
  <c r="F30" i="6"/>
  <c r="D30" i="6"/>
  <c r="A30" i="6"/>
  <c r="M30" i="6" s="1"/>
  <c r="O29" i="6"/>
  <c r="N29" i="6"/>
  <c r="M29" i="6"/>
  <c r="J29" i="6"/>
  <c r="I29" i="6"/>
  <c r="H29" i="6"/>
  <c r="G29" i="6"/>
  <c r="F29" i="6"/>
  <c r="D29" i="6"/>
  <c r="A29" i="6"/>
  <c r="J28" i="6"/>
  <c r="I28" i="6"/>
  <c r="O28" i="6" s="1"/>
  <c r="H28" i="6"/>
  <c r="G28" i="6"/>
  <c r="F28" i="6"/>
  <c r="D28" i="6"/>
  <c r="A28" i="6"/>
  <c r="M28" i="6" s="1"/>
  <c r="J27" i="6"/>
  <c r="D27" i="6" s="1"/>
  <c r="I27" i="6" s="1"/>
  <c r="O27" i="6" s="1"/>
  <c r="H27" i="6"/>
  <c r="F27" i="6"/>
  <c r="A27" i="6"/>
  <c r="M27" i="6" s="1"/>
  <c r="O26" i="6"/>
  <c r="N26" i="6"/>
  <c r="M26" i="6"/>
  <c r="J26" i="6"/>
  <c r="I26" i="6"/>
  <c r="H26" i="6"/>
  <c r="G26" i="6"/>
  <c r="F26" i="6"/>
  <c r="D26" i="6"/>
  <c r="A26" i="6"/>
  <c r="J25" i="6"/>
  <c r="C16" i="6" s="1" a="1"/>
  <c r="C16" i="6" s="1"/>
  <c r="I25" i="6"/>
  <c r="H25" i="6"/>
  <c r="G25" i="6"/>
  <c r="F25" i="6"/>
  <c r="D25" i="6"/>
  <c r="A25" i="6"/>
  <c r="M25" i="6" s="1"/>
  <c r="O24" i="6"/>
  <c r="N24" i="6"/>
  <c r="J24" i="6"/>
  <c r="I24" i="6"/>
  <c r="H24" i="6"/>
  <c r="G24" i="6"/>
  <c r="F24" i="6"/>
  <c r="D24" i="6"/>
  <c r="A24" i="6"/>
  <c r="M24" i="6" s="1"/>
  <c r="O23" i="6"/>
  <c r="N23" i="6"/>
  <c r="J23" i="6"/>
  <c r="I23" i="6"/>
  <c r="H23" i="6"/>
  <c r="G23" i="6"/>
  <c r="F23" i="6"/>
  <c r="D23" i="6"/>
  <c r="A23" i="6"/>
  <c r="M23" i="6" s="1"/>
  <c r="N22" i="6"/>
  <c r="J22" i="6"/>
  <c r="I22" i="6"/>
  <c r="O22" i="6" s="1"/>
  <c r="H22" i="6"/>
  <c r="G22" i="6"/>
  <c r="F22" i="6"/>
  <c r="D22" i="6"/>
  <c r="A22" i="6"/>
  <c r="M22" i="6" s="1"/>
  <c r="O21" i="6"/>
  <c r="N21" i="6"/>
  <c r="J21" i="6"/>
  <c r="J32" i="6" s="1"/>
  <c r="I21" i="6"/>
  <c r="H21" i="6"/>
  <c r="H32" i="6" s="1"/>
  <c r="G21" i="6"/>
  <c r="F21" i="6"/>
  <c r="D21" i="6"/>
  <c r="A21" i="6"/>
  <c r="M21" i="6" s="1"/>
  <c r="O20" i="6"/>
  <c r="N20" i="6"/>
  <c r="M20" i="6"/>
  <c r="J20" i="6"/>
  <c r="I20" i="6"/>
  <c r="H20" i="6"/>
  <c r="G20" i="6"/>
  <c r="F20" i="6"/>
  <c r="F32" i="6" s="1"/>
  <c r="D20" i="6"/>
  <c r="D32" i="6" s="1"/>
  <c r="A20" i="6"/>
  <c r="N18" i="6"/>
  <c r="D16" i="6" a="1"/>
  <c r="D16" i="6"/>
  <c r="F4" i="6"/>
  <c r="K32" i="5"/>
  <c r="E32" i="5"/>
  <c r="C32" i="5"/>
  <c r="B32" i="5"/>
  <c r="J31" i="5"/>
  <c r="I31" i="5"/>
  <c r="O31" i="5" s="1"/>
  <c r="H31" i="5"/>
  <c r="G31" i="5"/>
  <c r="F31" i="5"/>
  <c r="D31" i="5"/>
  <c r="A31" i="5"/>
  <c r="M31" i="5" s="1"/>
  <c r="O30" i="5"/>
  <c r="J30" i="5"/>
  <c r="I30" i="5"/>
  <c r="N30" i="5" s="1"/>
  <c r="H30" i="5"/>
  <c r="G30" i="5"/>
  <c r="F30" i="5"/>
  <c r="D30" i="5"/>
  <c r="A30" i="5"/>
  <c r="M30" i="5" s="1"/>
  <c r="J29" i="5"/>
  <c r="I29" i="5"/>
  <c r="N29" i="5" s="1"/>
  <c r="H29" i="5"/>
  <c r="G29" i="5"/>
  <c r="F29" i="5"/>
  <c r="D29" i="5"/>
  <c r="A29" i="5"/>
  <c r="M29" i="5" s="1"/>
  <c r="O28" i="5"/>
  <c r="N28" i="5"/>
  <c r="J28" i="5"/>
  <c r="I28" i="5"/>
  <c r="H28" i="5"/>
  <c r="G28" i="5"/>
  <c r="F28" i="5"/>
  <c r="D28" i="5"/>
  <c r="A28" i="5"/>
  <c r="M28" i="5" s="1"/>
  <c r="H27" i="5"/>
  <c r="F27" i="5"/>
  <c r="J27" i="5" s="1"/>
  <c r="C16" i="5" s="1" a="1"/>
  <c r="C16" i="5" s="1"/>
  <c r="A27" i="5"/>
  <c r="M27" i="5" s="1"/>
  <c r="M26" i="5"/>
  <c r="J26" i="5"/>
  <c r="I26" i="5"/>
  <c r="N26" i="5" s="1"/>
  <c r="H26" i="5"/>
  <c r="G26" i="5"/>
  <c r="F26" i="5"/>
  <c r="D26" i="5"/>
  <c r="A26" i="5"/>
  <c r="N25" i="5"/>
  <c r="J25" i="5"/>
  <c r="I25" i="5"/>
  <c r="O25" i="5" s="1"/>
  <c r="H25" i="5"/>
  <c r="G25" i="5"/>
  <c r="F25" i="5"/>
  <c r="D25" i="5"/>
  <c r="A25" i="5"/>
  <c r="M25" i="5" s="1"/>
  <c r="J24" i="5"/>
  <c r="I24" i="5"/>
  <c r="N24" i="5" s="1"/>
  <c r="H24" i="5"/>
  <c r="G24" i="5"/>
  <c r="F24" i="5"/>
  <c r="D24" i="5"/>
  <c r="A24" i="5"/>
  <c r="M24" i="5" s="1"/>
  <c r="J23" i="5"/>
  <c r="I23" i="5"/>
  <c r="N23" i="5" s="1"/>
  <c r="H23" i="5"/>
  <c r="G23" i="5"/>
  <c r="F23" i="5"/>
  <c r="D23" i="5"/>
  <c r="A23" i="5"/>
  <c r="M23" i="5" s="1"/>
  <c r="J22" i="5"/>
  <c r="I22" i="5"/>
  <c r="O22" i="5" s="1"/>
  <c r="H22" i="5"/>
  <c r="G22" i="5"/>
  <c r="F22" i="5"/>
  <c r="D22" i="5"/>
  <c r="A22" i="5"/>
  <c r="M22" i="5" s="1"/>
  <c r="J21" i="5"/>
  <c r="I21" i="5"/>
  <c r="N21" i="5" s="1"/>
  <c r="H21" i="5"/>
  <c r="G21" i="5"/>
  <c r="F21" i="5"/>
  <c r="D21" i="5"/>
  <c r="A21" i="5"/>
  <c r="M21" i="5" s="1"/>
  <c r="M20" i="5"/>
  <c r="J20" i="5"/>
  <c r="I20" i="5"/>
  <c r="N20" i="5" s="1"/>
  <c r="H20" i="5"/>
  <c r="G20" i="5"/>
  <c r="F20" i="5"/>
  <c r="D20" i="5"/>
  <c r="A20" i="5"/>
  <c r="N18" i="5"/>
  <c r="D16" i="5" a="1"/>
  <c r="D16" i="5" s="1"/>
  <c r="F4" i="5"/>
  <c r="K32" i="4"/>
  <c r="E32" i="4"/>
  <c r="C32" i="4"/>
  <c r="B32" i="4"/>
  <c r="J31" i="4"/>
  <c r="I31" i="4"/>
  <c r="O31" i="4" s="1"/>
  <c r="H31" i="4"/>
  <c r="G31" i="4"/>
  <c r="F31" i="4"/>
  <c r="D31" i="4"/>
  <c r="A31" i="4"/>
  <c r="M31" i="4" s="1"/>
  <c r="J30" i="4"/>
  <c r="I30" i="4"/>
  <c r="O30" i="4" s="1"/>
  <c r="H30" i="4"/>
  <c r="G30" i="4"/>
  <c r="F30" i="4"/>
  <c r="D30" i="4"/>
  <c r="A30" i="4"/>
  <c r="M30" i="4" s="1"/>
  <c r="J29" i="4"/>
  <c r="I29" i="4"/>
  <c r="N29" i="4" s="1"/>
  <c r="H29" i="4"/>
  <c r="G29" i="4"/>
  <c r="F29" i="4"/>
  <c r="D29" i="4"/>
  <c r="A29" i="4"/>
  <c r="M29" i="4" s="1"/>
  <c r="J28" i="4"/>
  <c r="I28" i="4"/>
  <c r="O28" i="4" s="1"/>
  <c r="H28" i="4"/>
  <c r="G28" i="4"/>
  <c r="F28" i="4"/>
  <c r="D28" i="4"/>
  <c r="A28" i="4"/>
  <c r="M28" i="4" s="1"/>
  <c r="H27" i="4"/>
  <c r="F27" i="4"/>
  <c r="J27" i="4" s="1"/>
  <c r="A27" i="4"/>
  <c r="M27" i="4" s="1"/>
  <c r="J26" i="4"/>
  <c r="I26" i="4"/>
  <c r="O26" i="4" s="1"/>
  <c r="H26" i="4"/>
  <c r="G26" i="4"/>
  <c r="F26" i="4"/>
  <c r="D26" i="4"/>
  <c r="A26" i="4"/>
  <c r="M26" i="4" s="1"/>
  <c r="N25" i="4"/>
  <c r="M25" i="4"/>
  <c r="J25" i="4"/>
  <c r="I25" i="4"/>
  <c r="H25" i="4"/>
  <c r="G25" i="4"/>
  <c r="F25" i="4"/>
  <c r="D25" i="4"/>
  <c r="A25" i="4"/>
  <c r="J24" i="4"/>
  <c r="I24" i="4"/>
  <c r="N24" i="4" s="1"/>
  <c r="H24" i="4"/>
  <c r="G24" i="4"/>
  <c r="F24" i="4"/>
  <c r="D24" i="4"/>
  <c r="A24" i="4"/>
  <c r="M24" i="4" s="1"/>
  <c r="J23" i="4"/>
  <c r="I23" i="4"/>
  <c r="O23" i="4" s="1"/>
  <c r="H23" i="4"/>
  <c r="G23" i="4"/>
  <c r="F23" i="4"/>
  <c r="D23" i="4"/>
  <c r="A23" i="4"/>
  <c r="M23" i="4" s="1"/>
  <c r="J22" i="4"/>
  <c r="I22" i="4"/>
  <c r="O22" i="4" s="1"/>
  <c r="H22" i="4"/>
  <c r="G22" i="4"/>
  <c r="F22" i="4"/>
  <c r="D22" i="4"/>
  <c r="A22" i="4"/>
  <c r="M22" i="4" s="1"/>
  <c r="J21" i="4"/>
  <c r="I21" i="4"/>
  <c r="N21" i="4" s="1"/>
  <c r="H21" i="4"/>
  <c r="G21" i="4"/>
  <c r="F21" i="4"/>
  <c r="D21" i="4"/>
  <c r="A21" i="4"/>
  <c r="M21" i="4" s="1"/>
  <c r="J20" i="4"/>
  <c r="I20" i="4"/>
  <c r="O20" i="4" s="1"/>
  <c r="H20" i="4"/>
  <c r="G20" i="4"/>
  <c r="F20" i="4"/>
  <c r="D20" i="4"/>
  <c r="A20" i="4"/>
  <c r="M20" i="4" s="1"/>
  <c r="N18" i="4"/>
  <c r="D16" i="4" a="1"/>
  <c r="D16" i="4" s="1"/>
  <c r="F4" i="4"/>
  <c r="K32" i="3"/>
  <c r="E32" i="3"/>
  <c r="C32" i="3"/>
  <c r="B32" i="3"/>
  <c r="J31" i="3"/>
  <c r="I31" i="3"/>
  <c r="O31" i="3" s="1"/>
  <c r="H31" i="3"/>
  <c r="G31" i="3"/>
  <c r="F31" i="3"/>
  <c r="D31" i="3"/>
  <c r="A31" i="3"/>
  <c r="M31" i="3" s="1"/>
  <c r="O30" i="3"/>
  <c r="N30" i="3"/>
  <c r="M30" i="3"/>
  <c r="J30" i="3"/>
  <c r="I30" i="3"/>
  <c r="H30" i="3"/>
  <c r="G30" i="3"/>
  <c r="F30" i="3"/>
  <c r="D30" i="3"/>
  <c r="A30" i="3"/>
  <c r="J29" i="3"/>
  <c r="I29" i="3"/>
  <c r="N29" i="3" s="1"/>
  <c r="H29" i="3"/>
  <c r="G29" i="3"/>
  <c r="F29" i="3"/>
  <c r="D29" i="3"/>
  <c r="A29" i="3"/>
  <c r="M29" i="3" s="1"/>
  <c r="J28" i="3"/>
  <c r="I28" i="3"/>
  <c r="N28" i="3" s="1"/>
  <c r="H28" i="3"/>
  <c r="G28" i="3"/>
  <c r="F28" i="3"/>
  <c r="D28" i="3"/>
  <c r="A28" i="3"/>
  <c r="M28" i="3" s="1"/>
  <c r="M27" i="3"/>
  <c r="H27" i="3"/>
  <c r="F27" i="3"/>
  <c r="J27" i="3" s="1"/>
  <c r="A27" i="3"/>
  <c r="J26" i="3"/>
  <c r="I26" i="3"/>
  <c r="N26" i="3" s="1"/>
  <c r="H26" i="3"/>
  <c r="A16" i="3" s="1" a="1"/>
  <c r="A16" i="3" s="1"/>
  <c r="G16" i="3" s="1"/>
  <c r="G26" i="3"/>
  <c r="F26" i="3"/>
  <c r="D26" i="3"/>
  <c r="A26" i="3"/>
  <c r="M26" i="3" s="1"/>
  <c r="O25" i="3"/>
  <c r="N25" i="3"/>
  <c r="J25" i="3"/>
  <c r="I25" i="3"/>
  <c r="H25" i="3"/>
  <c r="G25" i="3"/>
  <c r="F25" i="3"/>
  <c r="D25" i="3"/>
  <c r="A25" i="3"/>
  <c r="M25" i="3" s="1"/>
  <c r="J24" i="3"/>
  <c r="I24" i="3"/>
  <c r="O24" i="3" s="1"/>
  <c r="H24" i="3"/>
  <c r="G24" i="3"/>
  <c r="F24" i="3"/>
  <c r="D24" i="3"/>
  <c r="A24" i="3"/>
  <c r="M24" i="3" s="1"/>
  <c r="J23" i="3"/>
  <c r="I23" i="3"/>
  <c r="N23" i="3" s="1"/>
  <c r="H23" i="3"/>
  <c r="G23" i="3"/>
  <c r="F23" i="3"/>
  <c r="D23" i="3"/>
  <c r="A23" i="3"/>
  <c r="M23" i="3" s="1"/>
  <c r="J22" i="3"/>
  <c r="I22" i="3"/>
  <c r="O22" i="3" s="1"/>
  <c r="H22" i="3"/>
  <c r="G22" i="3"/>
  <c r="F22" i="3"/>
  <c r="D22" i="3"/>
  <c r="A22" i="3"/>
  <c r="M22" i="3" s="1"/>
  <c r="J21" i="3"/>
  <c r="I21" i="3"/>
  <c r="N21" i="3" s="1"/>
  <c r="H21" i="3"/>
  <c r="G21" i="3"/>
  <c r="F21" i="3"/>
  <c r="D21" i="3"/>
  <c r="A21" i="3"/>
  <c r="M21" i="3" s="1"/>
  <c r="O20" i="3"/>
  <c r="J20" i="3"/>
  <c r="I20" i="3"/>
  <c r="N20" i="3" s="1"/>
  <c r="H20" i="3"/>
  <c r="G20" i="3"/>
  <c r="F20" i="3"/>
  <c r="D20" i="3"/>
  <c r="A20" i="3"/>
  <c r="M20" i="3" s="1"/>
  <c r="N18" i="3"/>
  <c r="D16" i="3" a="1"/>
  <c r="D16" i="3" s="1"/>
  <c r="F4" i="3"/>
  <c r="K32" i="2"/>
  <c r="E32" i="2"/>
  <c r="C32" i="2"/>
  <c r="B32" i="2"/>
  <c r="J31" i="2"/>
  <c r="I31" i="2"/>
  <c r="O31" i="2" s="1"/>
  <c r="H31" i="2"/>
  <c r="G31" i="2"/>
  <c r="F31" i="2"/>
  <c r="D31" i="2"/>
  <c r="A31" i="2"/>
  <c r="M31" i="2" s="1"/>
  <c r="J30" i="2"/>
  <c r="I30" i="2"/>
  <c r="N30" i="2" s="1"/>
  <c r="H30" i="2"/>
  <c r="G30" i="2"/>
  <c r="F30" i="2"/>
  <c r="D30" i="2"/>
  <c r="A30" i="2"/>
  <c r="M30" i="2" s="1"/>
  <c r="J29" i="2"/>
  <c r="I29" i="2"/>
  <c r="O29" i="2" s="1"/>
  <c r="H29" i="2"/>
  <c r="G29" i="2"/>
  <c r="F29" i="2"/>
  <c r="D29" i="2"/>
  <c r="A29" i="2"/>
  <c r="M29" i="2" s="1"/>
  <c r="J28" i="2"/>
  <c r="I28" i="2"/>
  <c r="O28" i="2" s="1"/>
  <c r="H28" i="2"/>
  <c r="G28" i="2"/>
  <c r="F28" i="2"/>
  <c r="D28" i="2"/>
  <c r="A28" i="2"/>
  <c r="M28" i="2" s="1"/>
  <c r="H27" i="2"/>
  <c r="F27" i="2"/>
  <c r="J27" i="2" s="1"/>
  <c r="D27" i="2" s="1"/>
  <c r="I27" i="2" s="1"/>
  <c r="A27" i="2"/>
  <c r="M27" i="2" s="1"/>
  <c r="O26" i="2"/>
  <c r="N26" i="2"/>
  <c r="J26" i="2"/>
  <c r="I26" i="2"/>
  <c r="H26" i="2"/>
  <c r="A16" i="2" s="1" a="1"/>
  <c r="A16" i="2" s="1"/>
  <c r="G16" i="2" s="1"/>
  <c r="G26" i="2"/>
  <c r="F26" i="2"/>
  <c r="D26" i="2"/>
  <c r="A26" i="2"/>
  <c r="M26" i="2" s="1"/>
  <c r="N25" i="2"/>
  <c r="J25" i="2"/>
  <c r="I25" i="2"/>
  <c r="O25" i="2" s="1"/>
  <c r="H25" i="2"/>
  <c r="G25" i="2"/>
  <c r="F25" i="2"/>
  <c r="D25" i="2"/>
  <c r="A25" i="2"/>
  <c r="M25" i="2" s="1"/>
  <c r="J24" i="2"/>
  <c r="I24" i="2"/>
  <c r="O24" i="2" s="1"/>
  <c r="H24" i="2"/>
  <c r="G24" i="2"/>
  <c r="F24" i="2"/>
  <c r="D24" i="2"/>
  <c r="A24" i="2"/>
  <c r="M24" i="2" s="1"/>
  <c r="N23" i="2"/>
  <c r="M23" i="2"/>
  <c r="J23" i="2"/>
  <c r="I23" i="2"/>
  <c r="O23" i="2" s="1"/>
  <c r="H23" i="2"/>
  <c r="G23" i="2"/>
  <c r="F23" i="2"/>
  <c r="D23" i="2"/>
  <c r="A23" i="2"/>
  <c r="J22" i="2"/>
  <c r="I22" i="2"/>
  <c r="O22" i="2" s="1"/>
  <c r="H22" i="2"/>
  <c r="G22" i="2"/>
  <c r="F22" i="2"/>
  <c r="D22" i="2"/>
  <c r="A22" i="2"/>
  <c r="M22" i="2" s="1"/>
  <c r="O21" i="2"/>
  <c r="N21" i="2"/>
  <c r="M21" i="2"/>
  <c r="J21" i="2"/>
  <c r="I21" i="2"/>
  <c r="H21" i="2"/>
  <c r="G21" i="2"/>
  <c r="F21" i="2"/>
  <c r="D21" i="2"/>
  <c r="A21" i="2"/>
  <c r="N20" i="2"/>
  <c r="J20" i="2"/>
  <c r="I20" i="2"/>
  <c r="O20" i="2" s="1"/>
  <c r="H20" i="2"/>
  <c r="G20" i="2"/>
  <c r="F20" i="2"/>
  <c r="D20" i="2"/>
  <c r="A20" i="2"/>
  <c r="M20" i="2" s="1"/>
  <c r="N18" i="2"/>
  <c r="D16" i="2" a="1"/>
  <c r="D16" i="2" s="1"/>
  <c r="F4" i="2"/>
  <c r="O21" i="10" l="1"/>
  <c r="J32" i="10"/>
  <c r="O24" i="10"/>
  <c r="C16" i="10" a="1"/>
  <c r="C16" i="10" s="1"/>
  <c r="F32" i="10"/>
  <c r="C16" i="9" a="1"/>
  <c r="C16" i="9" s="1"/>
  <c r="H32" i="9"/>
  <c r="F32" i="9"/>
  <c r="O20" i="8"/>
  <c r="O25" i="7"/>
  <c r="C16" i="7" a="1"/>
  <c r="C16" i="7" s="1"/>
  <c r="O23" i="7"/>
  <c r="F32" i="7"/>
  <c r="O23" i="5"/>
  <c r="O21" i="5"/>
  <c r="F32" i="5"/>
  <c r="H32" i="5"/>
  <c r="O26" i="5"/>
  <c r="A16" i="5" a="1"/>
  <c r="A16" i="5" s="1"/>
  <c r="G16" i="5" s="1"/>
  <c r="J32" i="2"/>
  <c r="N29" i="2"/>
  <c r="H32" i="2"/>
  <c r="C16" i="2" a="1"/>
  <c r="C16" i="2" s="1"/>
  <c r="F32" i="2"/>
  <c r="D32" i="2"/>
  <c r="O30" i="2"/>
  <c r="H32" i="3"/>
  <c r="N24" i="3"/>
  <c r="F32" i="3"/>
  <c r="O28" i="3"/>
  <c r="N22" i="3"/>
  <c r="N20" i="4"/>
  <c r="N23" i="4"/>
  <c r="O29" i="4"/>
  <c r="O21" i="4"/>
  <c r="H32" i="4"/>
  <c r="A16" i="4" a="1"/>
  <c r="A16" i="4" s="1"/>
  <c r="G16" i="4" s="1"/>
  <c r="N26" i="4"/>
  <c r="N31" i="4"/>
  <c r="F32" i="4"/>
  <c r="O30" i="8"/>
  <c r="D32" i="8"/>
  <c r="N23" i="8"/>
  <c r="N21" i="8"/>
  <c r="N24" i="8"/>
  <c r="O29" i="8"/>
  <c r="J32" i="8"/>
  <c r="C16" i="8" a="1"/>
  <c r="C16" i="8" s="1"/>
  <c r="J32" i="4"/>
  <c r="D27" i="3"/>
  <c r="C16" i="3" a="1"/>
  <c r="C16" i="3" s="1"/>
  <c r="B16" i="2" a="1"/>
  <c r="B16" i="2" s="1"/>
  <c r="N27" i="2"/>
  <c r="O27" i="2"/>
  <c r="D27" i="4"/>
  <c r="C16" i="4" a="1"/>
  <c r="C16" i="4" s="1"/>
  <c r="I32" i="2"/>
  <c r="O25" i="8"/>
  <c r="B16" i="8" a="1"/>
  <c r="B16" i="8" s="1"/>
  <c r="N25" i="8"/>
  <c r="O25" i="10"/>
  <c r="B16" i="10" a="1"/>
  <c r="B16" i="10" s="1"/>
  <c r="N25" i="10"/>
  <c r="O31" i="10"/>
  <c r="N31" i="10"/>
  <c r="I32" i="10"/>
  <c r="O25" i="6"/>
  <c r="B16" i="6" a="1"/>
  <c r="B16" i="6" s="1"/>
  <c r="N27" i="6"/>
  <c r="J32" i="7"/>
  <c r="D27" i="7"/>
  <c r="A16" i="8" a="1"/>
  <c r="A16" i="8" s="1"/>
  <c r="G16" i="8" s="1"/>
  <c r="H32" i="8"/>
  <c r="O31" i="8"/>
  <c r="N31" i="8"/>
  <c r="I32" i="8"/>
  <c r="J32" i="5"/>
  <c r="D27" i="5"/>
  <c r="D32" i="5" s="1"/>
  <c r="A16" i="6" a="1"/>
  <c r="A16" i="6" s="1"/>
  <c r="G16" i="6" s="1"/>
  <c r="I27" i="9"/>
  <c r="I32" i="9" s="1"/>
  <c r="G27" i="9"/>
  <c r="G32" i="9" s="1"/>
  <c r="N31" i="7"/>
  <c r="A16" i="10" a="1"/>
  <c r="A16" i="10" s="1"/>
  <c r="G16" i="10" s="1"/>
  <c r="N22" i="2"/>
  <c r="N24" i="2"/>
  <c r="J32" i="3"/>
  <c r="O21" i="3"/>
  <c r="O26" i="3"/>
  <c r="N31" i="3"/>
  <c r="O24" i="4"/>
  <c r="O25" i="4"/>
  <c r="N28" i="4"/>
  <c r="N30" i="4"/>
  <c r="O20" i="5"/>
  <c r="N22" i="5"/>
  <c r="O29" i="5"/>
  <c r="N31" i="5"/>
  <c r="G27" i="6"/>
  <c r="G32" i="6" s="1"/>
  <c r="N28" i="6"/>
  <c r="O22" i="7"/>
  <c r="O24" i="7"/>
  <c r="N27" i="8"/>
  <c r="J32" i="9"/>
  <c r="O23" i="9"/>
  <c r="N23" i="9"/>
  <c r="A16" i="9" a="1"/>
  <c r="A16" i="9" s="1"/>
  <c r="G16" i="9" s="1"/>
  <c r="O29" i="9"/>
  <c r="N29" i="9"/>
  <c r="H32" i="10"/>
  <c r="O27" i="10"/>
  <c r="O28" i="10"/>
  <c r="N28" i="10"/>
  <c r="I32" i="6"/>
  <c r="D32" i="7"/>
  <c r="G27" i="8"/>
  <c r="G32" i="8" s="1"/>
  <c r="G27" i="10"/>
  <c r="G32" i="10" s="1"/>
  <c r="G27" i="2"/>
  <c r="G32" i="2" s="1"/>
  <c r="N31" i="2"/>
  <c r="O29" i="3"/>
  <c r="N22" i="4"/>
  <c r="N25" i="6"/>
  <c r="O20" i="7"/>
  <c r="O29" i="7"/>
  <c r="O20" i="9"/>
  <c r="N20" i="9"/>
  <c r="N28" i="2"/>
  <c r="D32" i="3"/>
  <c r="O23" i="3"/>
  <c r="O24" i="5"/>
  <c r="H32" i="7"/>
  <c r="O26" i="7"/>
  <c r="F32" i="8"/>
  <c r="N22" i="8"/>
  <c r="O28" i="8"/>
  <c r="N28" i="8"/>
  <c r="D32" i="9"/>
  <c r="O26" i="9"/>
  <c r="N26" i="9"/>
  <c r="O22" i="10"/>
  <c r="N22" i="10"/>
  <c r="O21" i="9"/>
  <c r="O24" i="9"/>
  <c r="O30" i="9"/>
  <c r="N27" i="9" l="1"/>
  <c r="O27" i="9"/>
  <c r="B16" i="9" a="1"/>
  <c r="B16" i="9" s="1"/>
  <c r="G27" i="5"/>
  <c r="G32" i="5" s="1"/>
  <c r="I27" i="5"/>
  <c r="I27" i="4"/>
  <c r="G27" i="4"/>
  <c r="G32" i="4" s="1"/>
  <c r="I27" i="3"/>
  <c r="G27" i="3"/>
  <c r="G32" i="3" s="1"/>
  <c r="I27" i="7"/>
  <c r="G27" i="7"/>
  <c r="G32" i="7" s="1"/>
  <c r="D32" i="4"/>
  <c r="N27" i="5" l="1"/>
  <c r="O27" i="5"/>
  <c r="B16" i="5" a="1"/>
  <c r="B16" i="5" s="1"/>
  <c r="I32" i="5"/>
  <c r="O27" i="4"/>
  <c r="N27" i="4"/>
  <c r="I32" i="4"/>
  <c r="B16" i="4" a="1"/>
  <c r="B16" i="4" s="1"/>
  <c r="N27" i="7"/>
  <c r="O27" i="7"/>
  <c r="B16" i="7" a="1"/>
  <c r="B16" i="7" s="1"/>
  <c r="I32" i="7"/>
  <c r="O27" i="3"/>
  <c r="N27" i="3"/>
  <c r="B16" i="3" a="1"/>
  <c r="B16" i="3" s="1"/>
  <c r="I32" i="3"/>
</calcChain>
</file>

<file path=xl/sharedStrings.xml><?xml version="1.0" encoding="utf-8"?>
<sst xmlns="http://schemas.openxmlformats.org/spreadsheetml/2006/main" count="552" uniqueCount="71">
  <si>
    <t>Click Me to Create Reports of Each Page:</t>
  </si>
  <si>
    <t xml:space="preserve">Files saved to: </t>
  </si>
  <si>
    <t>G:\Shared drives\O&amp;M\NCC Automations\In Progress\Performance Analysis - Python\Brandon\Python Switch\Also Energy Sites\Performance Reports</t>
  </si>
  <si>
    <t>Site Name: Bluebird Solar</t>
  </si>
  <si>
    <t>Site Location: 125 Frisco Drive, Pendleton SC 29670</t>
  </si>
  <si>
    <t>Utility: Duke Energy Carolinas</t>
  </si>
  <si>
    <t>Site Information</t>
  </si>
  <si>
    <t>System Size (MWdc):</t>
  </si>
  <si>
    <t>System Size (MWac):</t>
  </si>
  <si>
    <t>Inverter Type (Count):</t>
  </si>
  <si>
    <t>Module Type (Count):</t>
  </si>
  <si>
    <t>Transformer Type (Count):</t>
  </si>
  <si>
    <t>Combiner Type (Count):</t>
  </si>
  <si>
    <t>Performance Metrics</t>
  </si>
  <si>
    <t>Energy Index (%)</t>
  </si>
  <si>
    <t>Performance Index (%)</t>
  </si>
  <si>
    <t>Weather Index (%)</t>
  </si>
  <si>
    <t>Inverter Availability 
(%)</t>
  </si>
  <si>
    <t>Grid Availability</t>
  </si>
  <si>
    <t>O&amp;M Availability 
(%)</t>
  </si>
  <si>
    <t>NREL Weather Adjusted OPR
(%)</t>
  </si>
  <si>
    <t>Snow Adjustment (%)</t>
  </si>
  <si>
    <t>Site Outage Frequency (Total)</t>
  </si>
  <si>
    <t>Average Site Outage Duration (hr)</t>
  </si>
  <si>
    <t>YTD Summary</t>
  </si>
  <si>
    <t>Month</t>
  </si>
  <si>
    <t>Meter Production 
(kWh)</t>
  </si>
  <si>
    <t>P50 Production (kWh)</t>
  </si>
  <si>
    <t>Weather Adjusted Production (kWh)</t>
  </si>
  <si>
    <t>Observed Insolation (Wh/m2)</t>
  </si>
  <si>
    <t>P50 Insolation (Wh/m2)</t>
  </si>
  <si>
    <t>Estimated Production Loss
 (kWh)</t>
  </si>
  <si>
    <t>Monthly</t>
  </si>
  <si>
    <t>YTD</t>
  </si>
  <si>
    <t>QTR</t>
  </si>
  <si>
    <t>Completed Work Orders</t>
  </si>
  <si>
    <t>Work Order</t>
  </si>
  <si>
    <t>Device</t>
  </si>
  <si>
    <t>Start</t>
  </si>
  <si>
    <t>End</t>
  </si>
  <si>
    <t>Nature of Failure</t>
  </si>
  <si>
    <t>Problem Description</t>
  </si>
  <si>
    <t>How Repaired</t>
  </si>
  <si>
    <t>End of Reporting Record</t>
  </si>
  <si>
    <t>Open Work Orders</t>
  </si>
  <si>
    <t>Date Entered</t>
  </si>
  <si>
    <t>Scheduled Date</t>
  </si>
  <si>
    <t>Health, Safety, Security &amp; Environmental Events</t>
  </si>
  <si>
    <t>Type</t>
  </si>
  <si>
    <t>Date</t>
  </si>
  <si>
    <t>Status</t>
  </si>
  <si>
    <t>Incident Description</t>
  </si>
  <si>
    <t xml:space="preserve"> No Health, Environmental, or Security Events reported. </t>
  </si>
  <si>
    <t>.</t>
  </si>
  <si>
    <t>Site Name: Cardinal Solar</t>
  </si>
  <si>
    <t>Site Location: 3114 N. HWY 501, Marion SC 29571</t>
  </si>
  <si>
    <t>Utility: Duke Energy Progress</t>
  </si>
  <si>
    <t>Site Name: Cherry Blossom Solar</t>
  </si>
  <si>
    <t>Site Location: 189 Lewis Road, Hemingway SC 29554</t>
  </si>
  <si>
    <t>Site Name: Cougar Solar</t>
  </si>
  <si>
    <t>Site Location: W. Garden St, Sanford, NC 27330</t>
  </si>
  <si>
    <t>Site Name: Harrison Solar</t>
  </si>
  <si>
    <t>Site Location: 1454 Dunn Road, Roseboro NC 28382</t>
  </si>
  <si>
    <t>Site Name: Hayes Solar</t>
  </si>
  <si>
    <t>Site Location: 718 w. Atkins St., Dobson NC 27017</t>
  </si>
  <si>
    <t>Site Name: Hickory Solar</t>
  </si>
  <si>
    <t>Site Location: 4341 US Highway 117 South, Rose Hill, NC 28458</t>
  </si>
  <si>
    <t>Site Name: Violet Solar</t>
  </si>
  <si>
    <t>Site Location: 1150 B Street, Mt Pleasant, NC 28164</t>
  </si>
  <si>
    <t>Site Name: Wellons Solar</t>
  </si>
  <si>
    <t>Site Location: 88 Yelverton Grove RD, Smithfield, NC 27577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</si>
</sst>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mmmm"/>
    <numFmt numFmtId="166" formatCode="0.0%"/>
    <numFmt numFmtId="167" formatCode="m/d/yy;@"/>
    <numFmt numFmtId="168" formatCode="m/d;@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1"/>
      <name val="Bahnschrift"/>
      <family val="2"/>
    </font>
    <font>
      <sz val="11"/>
      <name val="Aptos Narrow"/>
      <family val="2"/>
      <scheme val="minor"/>
    </font>
    <font>
      <b/>
      <sz val="9"/>
      <name val="Bahnschrift"/>
      <family val="2"/>
    </font>
    <font>
      <b/>
      <sz val="8"/>
      <name val="Bahnschrift"/>
      <family val="2"/>
    </font>
    <font>
      <b/>
      <sz val="7"/>
      <name val="Bahnschrift"/>
      <family val="2"/>
    </font>
    <font>
      <sz val="7"/>
      <name val="Bahnschrift"/>
      <family val="2"/>
    </font>
    <font>
      <sz val="9"/>
      <name val="Bahnschrift"/>
      <family val="2"/>
    </font>
    <font>
      <sz val="9"/>
      <name val="Aptos Narrow"/>
      <family val="2"/>
      <scheme val="minor"/>
    </font>
    <font>
      <sz val="9"/>
      <color rgb="FFC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6"/>
      <name val="Bahnschrift"/>
      <family val="2"/>
    </font>
    <font>
      <sz val="6"/>
      <name val="Bahnschrift"/>
      <family val="2"/>
    </font>
    <font>
      <sz val="8"/>
      <name val="Calibri"/>
      <family val="2"/>
    </font>
    <font>
      <sz val="7"/>
      <color theme="0"/>
      <name val="Bahnschrift"/>
      <family val="2"/>
    </font>
    <font>
      <sz val="8"/>
      <name val="Aptos Narrow"/>
      <family val="2"/>
      <scheme val="minor"/>
    </font>
    <font>
      <sz val="11"/>
      <name val="CommercialScript BT"/>
      <family val="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97">
    <xf numFmtId="0" fontId="0" fillId="0" borderId="0" xfId="0"/>
    <xf numFmtId="3" fontId="15" fillId="2" borderId="0" xfId="0" applyNumberFormat="1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164" fontId="8" fillId="2" borderId="4" xfId="0" applyNumberFormat="1" applyFont="1" applyFill="1" applyBorder="1"/>
    <xf numFmtId="3" fontId="8" fillId="2" borderId="0" xfId="0" applyNumberFormat="1" applyFont="1" applyFill="1"/>
    <xf numFmtId="0" fontId="8" fillId="2" borderId="4" xfId="0" applyFont="1" applyFill="1" applyBorder="1"/>
    <xf numFmtId="0" fontId="8" fillId="2" borderId="0" xfId="0" applyFont="1" applyFill="1"/>
    <xf numFmtId="3" fontId="8" fillId="2" borderId="4" xfId="0" applyNumberFormat="1" applyFont="1" applyFill="1" applyBorder="1"/>
    <xf numFmtId="0" fontId="0" fillId="2" borderId="5" xfId="0" applyFill="1" applyBorder="1"/>
    <xf numFmtId="0" fontId="7" fillId="2" borderId="6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0" fontId="10" fillId="2" borderId="4" xfId="0" applyNumberFormat="1" applyFont="1" applyFill="1" applyBorder="1" applyAlignment="1">
      <alignment horizontal="center" vertical="center"/>
    </xf>
    <xf numFmtId="9" fontId="10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10" fontId="10" fillId="2" borderId="2" xfId="0" applyNumberFormat="1" applyFont="1" applyFill="1" applyBorder="1" applyAlignment="1">
      <alignment horizontal="center" vertical="center"/>
    </xf>
    <xf numFmtId="10" fontId="10" fillId="2" borderId="6" xfId="0" applyNumberFormat="1" applyFont="1" applyFill="1" applyBorder="1" applyAlignment="1">
      <alignment horizontal="center" vertical="center"/>
    </xf>
    <xf numFmtId="9" fontId="10" fillId="2" borderId="6" xfId="0" applyNumberFormat="1" applyFont="1" applyFill="1" applyBorder="1" applyAlignment="1">
      <alignment horizontal="center" vertical="center"/>
    </xf>
    <xf numFmtId="9" fontId="10" fillId="2" borderId="0" xfId="0" applyNumberFormat="1" applyFont="1" applyFill="1" applyAlignment="1">
      <alignment horizontal="center" vertical="center"/>
    </xf>
    <xf numFmtId="10" fontId="10" fillId="2" borderId="0" xfId="1" applyNumberFormat="1" applyFont="1" applyFill="1" applyAlignment="1">
      <alignment horizontal="center" vertical="center" wrapText="1" readingOrder="1"/>
    </xf>
    <xf numFmtId="10" fontId="10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165" fontId="13" fillId="2" borderId="4" xfId="0" applyNumberFormat="1" applyFont="1" applyFill="1" applyBorder="1" applyAlignment="1">
      <alignment horizontal="center" vertical="center"/>
    </xf>
    <xf numFmtId="3" fontId="14" fillId="2" borderId="4" xfId="0" applyNumberFormat="1" applyFont="1" applyFill="1" applyBorder="1" applyAlignment="1">
      <alignment horizontal="center" vertical="center"/>
    </xf>
    <xf numFmtId="9" fontId="14" fillId="2" borderId="4" xfId="1" applyFont="1" applyFill="1" applyBorder="1" applyAlignment="1">
      <alignment horizontal="center" vertical="center"/>
    </xf>
    <xf numFmtId="166" fontId="14" fillId="2" borderId="4" xfId="1" applyNumberFormat="1" applyFont="1" applyFill="1" applyBorder="1" applyAlignment="1">
      <alignment horizontal="center" vertical="center"/>
    </xf>
    <xf numFmtId="166" fontId="4" fillId="2" borderId="0" xfId="0" applyNumberFormat="1" applyFont="1" applyFill="1" applyAlignment="1">
      <alignment horizontal="center"/>
    </xf>
    <xf numFmtId="9" fontId="4" fillId="2" borderId="0" xfId="0" applyNumberFormat="1" applyFont="1" applyFill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167" fontId="14" fillId="2" borderId="4" xfId="0" applyNumberFormat="1" applyFont="1" applyFill="1" applyBorder="1" applyAlignment="1">
      <alignment horizontal="center" vertical="center"/>
    </xf>
    <xf numFmtId="3" fontId="14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68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3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167" fontId="14" fillId="2" borderId="4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3" xfId="0" quotePrefix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/>
    </xf>
    <xf numFmtId="0" fontId="18" fillId="2" borderId="0" xfId="0" applyFont="1" applyFill="1"/>
    <xf numFmtId="14" fontId="4" fillId="2" borderId="0" xfId="0" applyNumberFormat="1" applyFont="1" applyFill="1"/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3" fontId="7" fillId="5" borderId="4" xfId="0" applyNumberFormat="1" applyFont="1" applyFill="1" applyBorder="1" applyAlignment="1">
      <alignment horizontal="center" vertical="center"/>
    </xf>
    <xf numFmtId="3" fontId="7" fillId="5" borderId="4" xfId="0" applyNumberFormat="1" applyFont="1" applyFill="1" applyBorder="1" applyAlignment="1">
      <alignment vertical="center"/>
    </xf>
    <xf numFmtId="4" fontId="7" fillId="5" borderId="4" xfId="0" applyNumberFormat="1" applyFont="1" applyFill="1" applyBorder="1" applyAlignment="1">
      <alignment horizontal="center" vertical="center"/>
    </xf>
    <xf numFmtId="10" fontId="7" fillId="5" borderId="4" xfId="0" applyNumberFormat="1" applyFont="1" applyFill="1" applyBorder="1" applyAlignment="1">
      <alignment horizontal="center" vertical="center"/>
    </xf>
    <xf numFmtId="0" fontId="0" fillId="0" borderId="0" xfId="0"/>
    <xf numFmtId="0" fontId="6" fillId="3" borderId="4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3" fontId="14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10" fontId="10" fillId="2" borderId="4" xfId="1" applyNumberFormat="1" applyFont="1" applyFill="1" applyBorder="1" applyAlignment="1">
      <alignment horizontal="center" vertical="center" wrapText="1" readingOrder="1"/>
    </xf>
    <xf numFmtId="0" fontId="9" fillId="4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68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3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" xfId="0" applyNumberFormat="1" applyFont="1" applyFill="1" applyBorder="1" applyAlignment="1">
      <alignment horizontal="center" vertical="center" wrapText="1"/>
    </xf>
    <xf numFmtId="3" fontId="14" fillId="2" borderId="3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Bluebird!$E$19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Bluebird!$E$20:$E$31</c:f>
              <c:numCache>
                <c:formatCode>#,##0</c:formatCode>
                <c:ptCount val="12"/>
                <c:pt idx="7">
                  <c:v>201732.5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D-4CCF-9055-792E1053A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Bluebird!$I$19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Bluebird!$A$20:$A$31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Bluebird!$I$20:$I$31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0.64526195480039428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D-4CCF-9055-792E1053A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Bluebird!$N$19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Bluebird!$M$20:$M$31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Bluebird!$N$20:$N$31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0.64526195480039428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E-48C2-A4A2-7FFEA373FDC7}"/>
            </c:ext>
          </c:extLst>
        </c:ser>
        <c:ser>
          <c:idx val="1"/>
          <c:order val="1"/>
          <c:tx>
            <c:strRef>
              <c:f>Bluebird!$O$19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Bluebird!$M$20:$M$31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Bluebird!$O$20:$O$31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0.64526195480039428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CE-48C2-A4A2-7FFEA373F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Cardinal!$E$19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Cardinal!$E$20:$E$31</c:f>
              <c:numCache>
                <c:formatCode>#,##0</c:formatCode>
                <c:ptCount val="12"/>
                <c:pt idx="7">
                  <c:v>209011.17922204989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7-4F2B-9336-82E9A72D1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Cardinal!$I$19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Cardinal!$A$20:$A$31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Cardinal!$I$20:$I$31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0.89267067970501923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7-4F2B-9336-82E9A72D1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Cardinal!$N$19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Cardinal!$M$20:$M$31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Cardinal!$N$20:$N$31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0.89267067970501923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C-4A6F-96CD-AE05C0589E3B}"/>
            </c:ext>
          </c:extLst>
        </c:ser>
        <c:ser>
          <c:idx val="1"/>
          <c:order val="1"/>
          <c:tx>
            <c:strRef>
              <c:f>Cardinal!$O$19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Cardinal!$M$20:$M$31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Cardinal!$O$20:$O$31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0.89267067970501923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C-4A6F-96CD-AE05C0589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Cherry!$E$19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Cherry!$E$20:$E$31</c:f>
              <c:numCache>
                <c:formatCode>#,##0</c:formatCode>
                <c:ptCount val="12"/>
                <c:pt idx="7">
                  <c:v>197729.89569105301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6-474E-A974-DE74E531F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Cherry!$I$19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Cherry!$A$20:$A$31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Cherry!$I$20:$I$31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0.76690637178905141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6-474E-A974-DE74E531F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Cherry!$N$19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Cherry!$M$20:$M$31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Cherry!$N$20:$N$31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0.76690637178905141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1-4491-AA98-CCE35E4BC05B}"/>
            </c:ext>
          </c:extLst>
        </c:ser>
        <c:ser>
          <c:idx val="1"/>
          <c:order val="1"/>
          <c:tx>
            <c:strRef>
              <c:f>Cherry!$O$19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Cherry!$M$20:$M$31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Cherry!$O$20:$O$31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0.76690637178905141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1-4491-AA98-CCE35E4BC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Cougar!$E$19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Cougar!$E$20:$E$31</c:f>
              <c:numCache>
                <c:formatCode>#,##0</c:formatCode>
                <c:ptCount val="12"/>
                <c:pt idx="7">
                  <c:v>101494.80899999999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D-44FE-8BC1-02E057B81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Cougar!$I$19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Cougar!$A$20:$A$31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Cougar!$I$20:$I$31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1.928307386512961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D-44FE-8BC1-02E057B81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Cougar!$N$19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Cougar!$M$20:$M$31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Cougar!$N$20:$N$31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1.928307386512961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57-48AC-BAB8-4A4E78AB3831}"/>
            </c:ext>
          </c:extLst>
        </c:ser>
        <c:ser>
          <c:idx val="1"/>
          <c:order val="1"/>
          <c:tx>
            <c:strRef>
              <c:f>Cougar!$O$19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Cougar!$M$20:$M$31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Cougar!$O$20:$O$31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1.928307386512961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57-48AC-BAB8-4A4E78AB3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Harrison!$E$19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Harrison!$E$20:$E$31</c:f>
              <c:numCache>
                <c:formatCode>#,##0</c:formatCode>
                <c:ptCount val="12"/>
                <c:pt idx="7">
                  <c:v>171214.53539010999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7-4523-B42A-BEE7D1182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Harrison!$I$19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Harrison!$A$20:$A$31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Harrison!$I$20:$I$31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0.83460685868922846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A7-4523-B42A-BEE7D1182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Harrison!$N$19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Harrison!$M$20:$M$31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Harrison!$N$20:$N$31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0.83460685868922846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A-40DB-8F82-919F81E71960}"/>
            </c:ext>
          </c:extLst>
        </c:ser>
        <c:ser>
          <c:idx val="1"/>
          <c:order val="1"/>
          <c:tx>
            <c:strRef>
              <c:f>Harrison!$O$19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Harrison!$M$20:$M$31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Harrison!$O$20:$O$31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0.83460685868922846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8A-40DB-8F82-919F81E71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Hayes!$E$19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Hayes!$E$20:$E$31</c:f>
              <c:numCache>
                <c:formatCode>#,##0</c:formatCode>
                <c:ptCount val="12"/>
                <c:pt idx="7">
                  <c:v>150449.84032969989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5-46D5-86CE-E1B4E9BB6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Hayes!$I$19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Hayes!$A$20:$A$31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Hayes!$I$20:$I$31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1.3280943791196536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5-46D5-86CE-E1B4E9BB6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Hayes!$N$19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Hayes!$M$20:$M$31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Hayes!$N$20:$N$31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1.3280943791196536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1-4D8B-9D16-FE64438FC35D}"/>
            </c:ext>
          </c:extLst>
        </c:ser>
        <c:ser>
          <c:idx val="1"/>
          <c:order val="1"/>
          <c:tx>
            <c:strRef>
              <c:f>Hayes!$O$19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Hayes!$M$20:$M$31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Hayes!$O$20:$O$31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1.3280943791196536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1-4D8B-9D16-FE64438F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Hickory!$E$19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Hickory!$E$20:$E$31</c:f>
              <c:numCache>
                <c:formatCode>#,##0</c:formatCode>
                <c:ptCount val="12"/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7-4CF3-9C12-604D74255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Hickory!$I$19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Hickory!$A$20:$A$31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Hickory!$I$20:$I$31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27-4CF3-9C12-604D74255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Hickory!$N$19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Hickory!$M$20:$M$31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Hickory!$N$20:$N$31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0-4963-B5C4-389DB3D3A8DF}"/>
            </c:ext>
          </c:extLst>
        </c:ser>
        <c:ser>
          <c:idx val="1"/>
          <c:order val="1"/>
          <c:tx>
            <c:strRef>
              <c:f>Hickory!$O$19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Hickory!$M$20:$M$31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Hickory!$O$20:$O$31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0-4963-B5C4-389DB3D3A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Violet!$E$19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Violet!$E$20:$E$31</c:f>
              <c:numCache>
                <c:formatCode>#,##0</c:formatCode>
                <c:ptCount val="12"/>
                <c:pt idx="7">
                  <c:v>196014.68767669989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2-4D51-9347-33CA17698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Violet!$I$19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Violet!$A$20:$A$31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Violet!$I$20:$I$31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0.68616843008349826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92-4D51-9347-33CA17698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Violet!$N$19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Violet!$M$20:$M$31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Violet!$N$20:$N$31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0.68616843008349826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6-469F-A43A-7C30D156A182}"/>
            </c:ext>
          </c:extLst>
        </c:ser>
        <c:ser>
          <c:idx val="1"/>
          <c:order val="1"/>
          <c:tx>
            <c:strRef>
              <c:f>Violet!$O$19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Violet!$M$20:$M$31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Violet!$O$20:$O$31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0.68616843008349826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6-469F-A43A-7C30D156A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  <a:latin typeface="Bahnschrift" panose="020B0502040204020203" pitchFamily="34" charset="0"/>
              </a:rPr>
              <a:t>Yearly Summary to Date</a:t>
            </a:r>
          </a:p>
        </c:rich>
      </c:tx>
      <c:layout>
        <c:manualLayout>
          <c:xMode val="edge"/>
          <c:yMode val="edge"/>
          <c:x val="0.39009757892412977"/>
          <c:y val="1.627228413418644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6854685537379872E-2"/>
          <c:y val="0.241747291412959"/>
          <c:w val="0.93833567484562352"/>
          <c:h val="0.623500829731363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Wellons!$E$19</c:f>
              <c:strCache>
                <c:ptCount val="1"/>
                <c:pt idx="0">
                  <c:v>Observed Insolation (Wh/m2)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2"/>
              <c:pt idx="0">
                <c:v>44927</c:v>
              </c:pt>
              <c:pt idx="1">
                <c:v>44958</c:v>
              </c:pt>
              <c:pt idx="2">
                <c:v>44986</c:v>
              </c:pt>
              <c:pt idx="3">
                <c:v>45017</c:v>
              </c:pt>
              <c:pt idx="4">
                <c:v>45047</c:v>
              </c:pt>
              <c:pt idx="5">
                <c:v>45078</c:v>
              </c:pt>
              <c:pt idx="6">
                <c:v>45108</c:v>
              </c:pt>
              <c:pt idx="7">
                <c:v>45139</c:v>
              </c:pt>
              <c:pt idx="8">
                <c:v>45170</c:v>
              </c:pt>
              <c:pt idx="9">
                <c:v>45200</c:v>
              </c:pt>
              <c:pt idx="10">
                <c:v>45231</c:v>
              </c:pt>
              <c:pt idx="11">
                <c:v>45261</c:v>
              </c:pt>
            </c:numLit>
          </c:cat>
          <c:val>
            <c:numRef>
              <c:f>Wellons!$E$20:$E$31</c:f>
              <c:numCache>
                <c:formatCode>#,##0</c:formatCode>
                <c:ptCount val="12"/>
                <c:pt idx="7">
                  <c:v>165588.944286257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B-4F3C-A2DE-6CE15423D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516104"/>
        <c:axId val="505521352"/>
      </c:barChart>
      <c:lineChart>
        <c:grouping val="standard"/>
        <c:varyColors val="0"/>
        <c:ser>
          <c:idx val="2"/>
          <c:order val="1"/>
          <c:tx>
            <c:strRef>
              <c:f>Wellons!$I$19</c:f>
              <c:strCache>
                <c:ptCount val="1"/>
                <c:pt idx="0">
                  <c:v>Performance Index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Wellons!$A$20:$A$31</c:f>
              <c:numCache>
                <c:formatCode>mmmm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Wellons!$I$20:$I$31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0.98361823869007103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B-4F3C-A2DE-6CE15423D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768"/>
        <c:axId val="21264288"/>
      </c:lineChart>
      <c:catAx>
        <c:axId val="505516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noFill/>
          <a:ln w="6350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21352"/>
        <c:crosses val="autoZero"/>
        <c:auto val="1"/>
        <c:lblAlgn val="ctr"/>
        <c:lblOffset val="100"/>
        <c:noMultiLvlLbl val="1"/>
      </c:catAx>
      <c:valAx>
        <c:axId val="5055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in"/>
        <c:tickLblPos val="nextTo"/>
        <c:spPr>
          <a:noFill/>
          <a:ln w="6350">
            <a:solidFill>
              <a:schemeClr val="bg1">
                <a:lumMod val="75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600" b="0" i="0" strike="noStrike" kern="1200" baseline="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05516104"/>
        <c:crosses val="autoZero"/>
        <c:crossBetween val="between"/>
      </c:valAx>
      <c:dateAx>
        <c:axId val="21276768"/>
        <c:scaling>
          <c:orientation val="minMax"/>
        </c:scaling>
        <c:delete val="1"/>
        <c:axPos val="b"/>
        <c:numFmt formatCode="mmmm" sourceLinked="1"/>
        <c:majorTickMark val="out"/>
        <c:minorTickMark val="none"/>
        <c:tickLblPos val="nextTo"/>
        <c:crossAx val="21264288"/>
        <c:crosses val="autoZero"/>
        <c:auto val="0"/>
        <c:lblOffset val="100"/>
        <c:baseTimeUnit val="months"/>
      </c:dateAx>
      <c:valAx>
        <c:axId val="21264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68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70129774560755842"/>
          <c:y val="0.88090542334379984"/>
          <c:w val="0.24872339651924841"/>
          <c:h val="0.119094576656200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accent5">
          <a:lumMod val="50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972640"/>
        <c:axId val="788389248"/>
      </c:lineChart>
      <c:catAx>
        <c:axId val="96397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89248"/>
        <c:crosses val="autoZero"/>
        <c:auto val="1"/>
        <c:lblAlgn val="ctr"/>
        <c:lblOffset val="100"/>
        <c:noMultiLvlLbl val="0"/>
      </c:catAx>
      <c:valAx>
        <c:axId val="78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72640"/>
        <c:crosses val="autoZero"/>
        <c:crossBetween val="between"/>
      </c:valAx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Index</a:t>
            </a:r>
          </a:p>
        </c:rich>
      </c:tx>
      <c:layout>
        <c:manualLayout>
          <c:xMode val="edge"/>
          <c:yMode val="edge"/>
          <c:x val="0.3651417662612868"/>
          <c:y val="7.2236211273285517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363091529031219"/>
          <c:y val="0.16679341183001631"/>
          <c:w val="0.86376599523439446"/>
          <c:h val="0.5862139181546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Wellons!$N$19</c:f>
              <c:strCache>
                <c:ptCount val="1"/>
                <c:pt idx="0">
                  <c:v>Monthly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Wellons!$M$20:$M$31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Wellons!$N$20:$N$31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0.98361823869007103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6-4415-8055-9364FACEB145}"/>
            </c:ext>
          </c:extLst>
        </c:ser>
        <c:ser>
          <c:idx val="1"/>
          <c:order val="1"/>
          <c:tx>
            <c:strRef>
              <c:f>Wellons!$O$19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Wellons!$M$20:$M$31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Wellons!$O$20:$O$31</c:f>
              <c:numCache>
                <c:formatCode>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0.98361823869007103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6-4415-8055-9364FACEB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862192"/>
        <c:axId val="957567984"/>
      </c:barChart>
      <c:catAx>
        <c:axId val="78486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567984"/>
        <c:crosses val="autoZero"/>
        <c:auto val="1"/>
        <c:lblAlgn val="ctr"/>
        <c:lblOffset val="100"/>
        <c:noMultiLvlLbl val="0"/>
      </c:catAx>
      <c:valAx>
        <c:axId val="9575679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62192"/>
        <c:crosses val="autoZero"/>
        <c:crossBetween val="between"/>
        <c:majorUnit val="0.1"/>
      </c:valAx>
    </c:plotArea>
    <c:legend>
      <c:legendPos val="b"/>
      <c:layout>
        <c:manualLayout>
          <c:xMode val="edge"/>
          <c:yMode val="edge"/>
          <c:x val="0.34582822816094771"/>
          <c:y val="0.88532416142006165"/>
          <c:w val="0.1770831278649932"/>
          <c:h val="0.102149514826657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152400</xdr:rowOff>
    </xdr:from>
    <xdr:to>
      <xdr:col>7</xdr:col>
      <xdr:colOff>361950</xdr:colOff>
      <xdr:row>25</xdr:row>
      <xdr:rowOff>19050</xdr:rowOff>
    </xdr:to>
    <xdr:pic macro="[0]!MakePDFs">
      <xdr:nvPicPr>
        <xdr:cNvPr id="3" name="Graphic 2" descr="Document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57400"/>
          <a:ext cx="3409950" cy="27241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44</xdr:row>
      <xdr:rowOff>40602</xdr:rowOff>
    </xdr:from>
    <xdr:to>
      <xdr:col>11</xdr:col>
      <xdr:colOff>6350</xdr:colOff>
      <xdr:row>57</xdr:row>
      <xdr:rowOff>48908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799722"/>
          <a:ext cx="8594433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49005</xdr:colOff>
      <xdr:row>44</xdr:row>
      <xdr:rowOff>90297</xdr:rowOff>
    </xdr:from>
    <xdr:to>
      <xdr:col>11</xdr:col>
      <xdr:colOff>39480</xdr:colOff>
      <xdr:row>57</xdr:row>
      <xdr:rowOff>32343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933072"/>
          <a:ext cx="8489658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49005</xdr:colOff>
      <xdr:row>44</xdr:row>
      <xdr:rowOff>32319</xdr:rowOff>
    </xdr:from>
    <xdr:to>
      <xdr:col>11</xdr:col>
      <xdr:colOff>39480</xdr:colOff>
      <xdr:row>58</xdr:row>
      <xdr:rowOff>32342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799722"/>
          <a:ext cx="8594433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32441</xdr:colOff>
      <xdr:row>44</xdr:row>
      <xdr:rowOff>73733</xdr:rowOff>
    </xdr:from>
    <xdr:to>
      <xdr:col>11</xdr:col>
      <xdr:colOff>22916</xdr:colOff>
      <xdr:row>57</xdr:row>
      <xdr:rowOff>15778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799722"/>
          <a:ext cx="8594433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44</xdr:row>
      <xdr:rowOff>123428</xdr:rowOff>
    </xdr:from>
    <xdr:to>
      <xdr:col>11</xdr:col>
      <xdr:colOff>6350</xdr:colOff>
      <xdr:row>54</xdr:row>
      <xdr:rowOff>123451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799722"/>
          <a:ext cx="8594433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73731</xdr:rowOff>
    </xdr:from>
    <xdr:to>
      <xdr:col>10</xdr:col>
      <xdr:colOff>603388</xdr:colOff>
      <xdr:row>57</xdr:row>
      <xdr:rowOff>40625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799722"/>
          <a:ext cx="8594433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98579</xdr:rowOff>
    </xdr:from>
    <xdr:to>
      <xdr:col>10</xdr:col>
      <xdr:colOff>603388</xdr:colOff>
      <xdr:row>57</xdr:row>
      <xdr:rowOff>73755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799722"/>
          <a:ext cx="8594433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73733</xdr:rowOff>
    </xdr:from>
    <xdr:to>
      <xdr:col>10</xdr:col>
      <xdr:colOff>603388</xdr:colOff>
      <xdr:row>57</xdr:row>
      <xdr:rowOff>24060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799722"/>
          <a:ext cx="8594433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16565</xdr:colOff>
      <xdr:row>44</xdr:row>
      <xdr:rowOff>32318</xdr:rowOff>
    </xdr:from>
    <xdr:to>
      <xdr:col>11</xdr:col>
      <xdr:colOff>7040</xdr:colOff>
      <xdr:row>56</xdr:row>
      <xdr:rowOff>173145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220869</xdr:colOff>
      <xdr:row>4</xdr:row>
      <xdr:rowOff>75096</xdr:rowOff>
    </xdr:from>
    <xdr:to>
      <xdr:col>10</xdr:col>
      <xdr:colOff>331304</xdr:colOff>
      <xdr:row>11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177376</xdr:colOff>
      <xdr:row>4</xdr:row>
      <xdr:rowOff>767</xdr:rowOff>
    </xdr:from>
    <xdr:to>
      <xdr:col>10</xdr:col>
      <xdr:colOff>704850</xdr:colOff>
      <xdr:row>12</xdr:row>
      <xdr:rowOff>61169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35217</xdr:colOff>
      <xdr:row>3</xdr:row>
      <xdr:rowOff>209172</xdr:rowOff>
    </xdr:from>
    <xdr:to>
      <xdr:col>10</xdr:col>
      <xdr:colOff>695325</xdr:colOff>
      <xdr:row>3</xdr:row>
      <xdr:rowOff>254891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35217" y="799722"/>
          <a:ext cx="8594433" cy="45719"/>
        </a:xfrm>
        <a:prstGeom prst="rect">
          <a:avLst/>
        </a:prstGeom>
        <a:ln w="1270">
          <a:noFill/>
          <a:prstDash val="solid"/>
        </a:ln>
      </xdr:spPr>
    </xdr:pic>
    <xdr:clientData/>
  </xdr:twoCellAnchor>
  <xdr:oneCellAnchor>
    <xdr:from>
      <xdr:col>0</xdr:col>
      <xdr:colOff>0</xdr:colOff>
      <xdr:row>0</xdr:row>
      <xdr:rowOff>29728</xdr:rowOff>
    </xdr:from>
    <xdr:ext cx="2511854" cy="824516"/>
    <xdr:pic>
      <xdr:nvPicPr>
        <xdr:cNvPr id="6" name="Picture 5" descr="See the source image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728"/>
          <a:ext cx="2511854" cy="824516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A11:AS11"/>
  <sheetViews>
    <sheetView workbookViewId="0">
      <selection activeCell="Q10" sqref="Q10"/>
    </sheetView>
  </sheetViews>
  <sheetFormatPr defaultRowHeight="15"/>
  <cols>
    <col min="1" max="8" width="9.140625" style="6" customWidth="1"/>
    <col min="9" max="9" width="14" style="6" bestFit="1" customWidth="1"/>
    <col min="10" max="45" width="9.140625" style="6" customWidth="1"/>
  </cols>
  <sheetData>
    <row r="11" spans="4:10">
      <c r="D11" s="6" t="s">
        <v>0</v>
      </c>
      <c r="I11" s="6" t="s">
        <v>1</v>
      </c>
      <c r="J11" s="6" t="s">
        <v>2</v>
      </c>
    </row>
  </sheetData>
  <pageMargins left="0.7" right="0.7" top="0.75" bottom="0.75" header="0.3" footer="0.3"/>
  <pageSetup scale="43" fitToHeight="0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Q59"/>
  <sheetViews>
    <sheetView topLeftCell="A29" zoomScale="115" zoomScaleNormal="115" workbookViewId="0">
      <selection activeCell="E43" sqref="E43:K43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3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4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5.8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3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24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>
        <v>12768</v>
      </c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>
        <v>2</v>
      </c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>
        <v>24</v>
      </c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0.58220908532413695</v>
      </c>
      <c r="B16" s="25">
        <f t="array" ref="B16">LOOKUP(2,1/(I20:I31&lt;&gt;""),I20:I31)</f>
        <v>0.64526195480039428</v>
      </c>
      <c r="C16" s="25">
        <f t="array" ref="C16">LOOKUP(2,1/(J20:J31&lt;&gt;""),J20:J31)</f>
        <v>0.90228329904284821</v>
      </c>
      <c r="D16" s="25">
        <f t="array" ref="D16">LOOKUP(2,1/(K20:K31&lt;&gt;""),K20:K31)</f>
        <v>0.98303424826732655</v>
      </c>
      <c r="E16" s="26">
        <v>1</v>
      </c>
      <c r="F16" s="26">
        <v>1</v>
      </c>
      <c r="G16" s="79">
        <f>A16</f>
        <v>0.58220908532413695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110967)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124648)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182142)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214739)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245654)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242273)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236852)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446701.55397830048</v>
      </c>
      <c r="C27" s="37">
        <v>767252.80528661876</v>
      </c>
      <c r="D27" s="37">
        <f t="shared" si="1"/>
        <v>692279.39235389046</v>
      </c>
      <c r="E27" s="37">
        <v>201732.5</v>
      </c>
      <c r="F27" s="37">
        <f>IF(E27="", "", 223580)</f>
        <v>223580</v>
      </c>
      <c r="G27" s="37">
        <f t="shared" si="2"/>
        <v>245577.83837558998</v>
      </c>
      <c r="H27" s="38">
        <f t="shared" si="3"/>
        <v>0.58220908532413695</v>
      </c>
      <c r="I27" s="38">
        <f t="shared" si="4"/>
        <v>0.64526195480039428</v>
      </c>
      <c r="J27" s="38">
        <f t="shared" si="5"/>
        <v>0.90228329904284821</v>
      </c>
      <c r="K27" s="39">
        <v>0.98303424826732655</v>
      </c>
      <c r="L27" s="9"/>
      <c r="M27" s="7" t="str">
        <f t="shared" si="6"/>
        <v>Aug</v>
      </c>
      <c r="N27" s="40">
        <f t="shared" si="7"/>
        <v>0.64526195480039428</v>
      </c>
      <c r="O27" s="41">
        <f>IF(OR(I27="",I27=0),NA(),AVERAGE(I$20:I27))</f>
        <v>0.64526195480039428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180431)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156744)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116252)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94474)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446701.55397830048</v>
      </c>
      <c r="C32" s="68">
        <f t="shared" si="8"/>
        <v>767252.80528661876</v>
      </c>
      <c r="D32" s="68">
        <f t="shared" si="8"/>
        <v>692279.39235389046</v>
      </c>
      <c r="E32" s="67">
        <f t="shared" si="8"/>
        <v>201732.5</v>
      </c>
      <c r="F32" s="67">
        <f t="shared" si="8"/>
        <v>223580</v>
      </c>
      <c r="G32" s="69">
        <f t="shared" si="8"/>
        <v>245577.83837558998</v>
      </c>
      <c r="H32" s="70">
        <f>IFERROR(AVERAGE(H20:H31),"")</f>
        <v>0.58220908532413695</v>
      </c>
      <c r="I32" s="70">
        <f>IFERROR(AVERAGE(I20:I31),"")</f>
        <v>0.64526195480039428</v>
      </c>
      <c r="J32" s="70">
        <f>IFERROR(AVERAGE(J20:J31),"")</f>
        <v>0.90228329904284821</v>
      </c>
      <c r="K32" s="70">
        <f>IFERROR(AVERAGE(K20:K31),"")</f>
        <v>0.98303424826732655</v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>
      <c r="A36" s="42"/>
      <c r="B36" s="43"/>
      <c r="C36" s="44"/>
      <c r="D36" s="44"/>
      <c r="E36" s="45"/>
      <c r="F36" s="45"/>
      <c r="G36" s="75" t="s">
        <v>43</v>
      </c>
      <c r="H36" s="73"/>
      <c r="I36" s="73"/>
      <c r="J36" s="73"/>
      <c r="K36" s="74"/>
      <c r="L36" s="9"/>
      <c r="M36" s="9"/>
      <c r="N36" s="9"/>
      <c r="O36" s="9"/>
      <c r="P36" s="9"/>
      <c r="Q36" s="6"/>
    </row>
    <row r="37" spans="1:17">
      <c r="A37" s="46"/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6"/>
    </row>
    <row r="38" spans="1:17">
      <c r="A38" s="72" t="s">
        <v>44</v>
      </c>
      <c r="B38" s="73"/>
      <c r="C38" s="73"/>
      <c r="D38" s="73"/>
      <c r="E38" s="73"/>
      <c r="F38" s="73"/>
      <c r="G38" s="73"/>
      <c r="H38" s="73"/>
      <c r="I38" s="73"/>
      <c r="J38" s="73"/>
      <c r="K38" s="74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78" t="s">
        <v>41</v>
      </c>
      <c r="F39" s="73"/>
      <c r="G39" s="73"/>
      <c r="H39" s="73"/>
      <c r="I39" s="73"/>
      <c r="J39" s="73"/>
      <c r="K39" s="74"/>
      <c r="L39" s="9"/>
      <c r="M39" s="9"/>
      <c r="N39" s="9"/>
      <c r="O39" s="9"/>
      <c r="P39" s="9"/>
      <c r="Q39" s="6"/>
    </row>
    <row r="40" spans="1:17" ht="16.5" customHeight="1">
      <c r="A40" s="42"/>
      <c r="B40" s="42"/>
      <c r="C40" s="51"/>
      <c r="D40" s="51"/>
      <c r="E40" s="89" t="s">
        <v>43</v>
      </c>
      <c r="F40" s="90"/>
      <c r="G40" s="90"/>
      <c r="H40" s="90"/>
      <c r="I40" s="90"/>
      <c r="J40" s="90"/>
      <c r="K40" s="91"/>
      <c r="L40" s="9"/>
      <c r="M40" s="9"/>
      <c r="N40" s="9"/>
      <c r="O40" s="9"/>
      <c r="P40" s="9"/>
      <c r="Q40" s="6"/>
    </row>
    <row r="41" spans="1:17" ht="16.5" customHeight="1">
      <c r="A41" s="46"/>
      <c r="B41" s="46"/>
      <c r="C41" s="47"/>
      <c r="D41" s="48"/>
      <c r="E41" s="49"/>
      <c r="L41" s="9"/>
      <c r="M41" s="9"/>
      <c r="N41" s="9"/>
      <c r="O41" s="9"/>
      <c r="P41" s="9"/>
      <c r="Q41" s="6"/>
    </row>
    <row r="42" spans="1:17" ht="33" customHeight="1">
      <c r="A42" s="60" t="s">
        <v>47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9"/>
      <c r="M42" s="9"/>
      <c r="N42" s="9"/>
      <c r="O42" s="9"/>
      <c r="P42" s="9"/>
      <c r="Q42" s="6"/>
    </row>
    <row r="43" spans="1:17" ht="16.5" customHeight="1">
      <c r="A43" s="65" t="s">
        <v>48</v>
      </c>
      <c r="B43" s="65" t="s">
        <v>37</v>
      </c>
      <c r="C43" s="65" t="s">
        <v>49</v>
      </c>
      <c r="D43" s="65" t="s">
        <v>50</v>
      </c>
      <c r="E43" s="86" t="s">
        <v>51</v>
      </c>
      <c r="F43" s="87"/>
      <c r="G43" s="87"/>
      <c r="H43" s="87"/>
      <c r="I43" s="87"/>
      <c r="J43" s="87"/>
      <c r="K43" s="88"/>
      <c r="L43" s="9"/>
      <c r="M43" s="9"/>
      <c r="N43" s="9"/>
      <c r="O43" s="9"/>
      <c r="P43" s="9"/>
      <c r="Q43" s="6"/>
    </row>
    <row r="44" spans="1:17" ht="33" customHeight="1">
      <c r="A44" s="52"/>
      <c r="B44" s="42"/>
      <c r="C44" s="44"/>
      <c r="D44" s="53"/>
      <c r="E44" s="89" t="s">
        <v>52</v>
      </c>
      <c r="F44" s="90"/>
      <c r="G44" s="90"/>
      <c r="H44" s="90"/>
      <c r="I44" s="90"/>
      <c r="J44" s="90"/>
      <c r="K44" s="91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16">
    <mergeCell ref="E44:K44"/>
    <mergeCell ref="E43:K43"/>
    <mergeCell ref="A38:K38"/>
    <mergeCell ref="A34:K34"/>
    <mergeCell ref="G36:K36"/>
    <mergeCell ref="I5:K5"/>
    <mergeCell ref="I6:K6"/>
    <mergeCell ref="E40:K40"/>
    <mergeCell ref="A14:K14"/>
    <mergeCell ref="A18:K18"/>
    <mergeCell ref="G35:K35"/>
    <mergeCell ref="I7:K7"/>
    <mergeCell ref="G16:H16"/>
    <mergeCell ref="A5:C5"/>
    <mergeCell ref="E39:K39"/>
    <mergeCell ref="G15:H15"/>
  </mergeCells>
  <pageMargins left="0.7" right="0.7" top="0.75" bottom="0.75" header="0.3" footer="0.3"/>
  <pageSetup scale="69" fitToHeight="0" orientation="portrait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Q59"/>
  <sheetViews>
    <sheetView topLeftCell="A14" zoomScale="115" zoomScaleNormal="115" workbookViewId="0">
      <selection activeCell="E44" sqref="E44:K44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54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55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56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10.199999999999999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7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59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>
        <v>25488</v>
      </c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>
        <v>3</v>
      </c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>
        <v>59</v>
      </c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0.84222901481113022</v>
      </c>
      <c r="B16" s="25">
        <f t="array" ref="B16">LOOKUP(2,1/(I20:I31&lt;&gt;""),I20:I31)</f>
        <v>0.89267067970501923</v>
      </c>
      <c r="C16" s="25">
        <f t="array" ref="C16">LOOKUP(2,1/(J20:J31&lt;&gt;""),J20:J31)</f>
        <v>0.9434935345803479</v>
      </c>
      <c r="D16" s="25">
        <f t="array" ref="D16">LOOKUP(2,1/(K20:K31&lt;&gt;""),K20:K31)</f>
        <v>0.96118586710327436</v>
      </c>
      <c r="E16" s="26">
        <v>1</v>
      </c>
      <c r="F16" s="26">
        <v>1</v>
      </c>
      <c r="G16" s="79">
        <f>A16</f>
        <v>0.84222901481113022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121887)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131443)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180929)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228385)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240323)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228385)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233643)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1532200.1227650989</v>
      </c>
      <c r="C27" s="37">
        <v>1819220.302103573</v>
      </c>
      <c r="D27" s="37">
        <f t="shared" si="1"/>
        <v>1716422.5930120284</v>
      </c>
      <c r="E27" s="37">
        <v>209011.17922204989</v>
      </c>
      <c r="F27" s="37">
        <f>IF(E27="", "", 221529)</f>
        <v>221529</v>
      </c>
      <c r="G27" s="37">
        <f t="shared" si="2"/>
        <v>184222.47024692944</v>
      </c>
      <c r="H27" s="38">
        <f t="shared" si="3"/>
        <v>0.84222901481113022</v>
      </c>
      <c r="I27" s="38">
        <f t="shared" si="4"/>
        <v>0.89267067970501923</v>
      </c>
      <c r="J27" s="38">
        <f t="shared" si="5"/>
        <v>0.9434935345803479</v>
      </c>
      <c r="K27" s="39">
        <v>0.96118586710327436</v>
      </c>
      <c r="L27" s="9"/>
      <c r="M27" s="7" t="str">
        <f t="shared" si="6"/>
        <v>Aug</v>
      </c>
      <c r="N27" s="40">
        <f t="shared" si="7"/>
        <v>0.89267067970501923</v>
      </c>
      <c r="O27" s="41">
        <f>IF(OR(I27="",I27=0),NA(),AVERAGE(I$20:I27))</f>
        <v>0.89267067970501923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178041)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155373)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128129)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110839)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1532200.1227650989</v>
      </c>
      <c r="C32" s="68">
        <f t="shared" si="8"/>
        <v>1819220.302103573</v>
      </c>
      <c r="D32" s="68">
        <f t="shared" si="8"/>
        <v>1716422.5930120284</v>
      </c>
      <c r="E32" s="67">
        <f t="shared" si="8"/>
        <v>209011.17922204989</v>
      </c>
      <c r="F32" s="67">
        <f t="shared" si="8"/>
        <v>221529</v>
      </c>
      <c r="G32" s="69">
        <f t="shared" si="8"/>
        <v>184222.47024692944</v>
      </c>
      <c r="H32" s="70">
        <f>IFERROR(AVERAGE(H20:H31),"")</f>
        <v>0.84222901481113022</v>
      </c>
      <c r="I32" s="70">
        <f>IFERROR(AVERAGE(I20:I31),"")</f>
        <v>0.89267067970501923</v>
      </c>
      <c r="J32" s="70">
        <f>IFERROR(AVERAGE(J20:J31),"")</f>
        <v>0.9434935345803479</v>
      </c>
      <c r="K32" s="70">
        <f>IFERROR(AVERAGE(K20:K31),"")</f>
        <v>0.96118586710327436</v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>
      <c r="A36" s="42"/>
      <c r="B36" s="43"/>
      <c r="C36" s="44"/>
      <c r="D36" s="44"/>
      <c r="E36" s="45"/>
      <c r="F36" s="45"/>
      <c r="G36" s="75" t="s">
        <v>43</v>
      </c>
      <c r="H36" s="73"/>
      <c r="I36" s="73"/>
      <c r="J36" s="73"/>
      <c r="K36" s="74"/>
      <c r="L36" s="9"/>
      <c r="M36" s="9"/>
      <c r="N36" s="9"/>
      <c r="O36" s="9"/>
      <c r="P36" s="9"/>
      <c r="Q36" s="6"/>
    </row>
    <row r="37" spans="1:17">
      <c r="A37" s="46"/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6"/>
    </row>
    <row r="38" spans="1:17">
      <c r="A38" s="72" t="s">
        <v>44</v>
      </c>
      <c r="B38" s="73"/>
      <c r="C38" s="73"/>
      <c r="D38" s="73"/>
      <c r="E38" s="73"/>
      <c r="F38" s="73"/>
      <c r="G38" s="73"/>
      <c r="H38" s="73"/>
      <c r="I38" s="73"/>
      <c r="J38" s="73"/>
      <c r="K38" s="74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78" t="s">
        <v>41</v>
      </c>
      <c r="F39" s="73"/>
      <c r="G39" s="73"/>
      <c r="H39" s="73"/>
      <c r="I39" s="73"/>
      <c r="J39" s="73"/>
      <c r="K39" s="74"/>
      <c r="L39" s="9"/>
      <c r="M39" s="9"/>
      <c r="N39" s="9"/>
      <c r="O39" s="9"/>
      <c r="P39" s="9"/>
      <c r="Q39" s="6"/>
    </row>
    <row r="40" spans="1:17" ht="16.5" customHeight="1">
      <c r="A40" s="42"/>
      <c r="B40" s="42"/>
      <c r="C40" s="51"/>
      <c r="D40" s="51"/>
      <c r="E40" s="89" t="s">
        <v>43</v>
      </c>
      <c r="F40" s="90"/>
      <c r="G40" s="90"/>
      <c r="H40" s="90"/>
      <c r="I40" s="90"/>
      <c r="J40" s="90"/>
      <c r="K40" s="91"/>
      <c r="L40" s="9"/>
      <c r="M40" s="9"/>
      <c r="N40" s="9"/>
      <c r="O40" s="9"/>
      <c r="P40" s="9"/>
      <c r="Q40" s="6"/>
    </row>
    <row r="41" spans="1:17" ht="33" customHeight="1">
      <c r="A41" s="46"/>
      <c r="B41" s="46"/>
      <c r="C41" s="47"/>
      <c r="D41" s="48"/>
      <c r="E41" s="49"/>
      <c r="F41" s="50"/>
      <c r="G41" s="50"/>
      <c r="H41" s="50"/>
      <c r="I41" s="50"/>
      <c r="J41" s="50"/>
      <c r="K41" s="50"/>
      <c r="L41" s="9"/>
      <c r="M41" s="9"/>
      <c r="N41" s="9"/>
      <c r="O41" s="9"/>
      <c r="P41" s="9"/>
      <c r="Q41" s="6"/>
    </row>
    <row r="42" spans="1:17">
      <c r="A42" s="60" t="s">
        <v>47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9"/>
      <c r="M42" s="9"/>
      <c r="N42" s="9"/>
      <c r="O42" s="9"/>
      <c r="P42" s="9"/>
      <c r="Q42" s="6"/>
    </row>
    <row r="43" spans="1:17" ht="16.5" customHeight="1">
      <c r="A43" s="65" t="s">
        <v>48</v>
      </c>
      <c r="B43" s="65" t="s">
        <v>37</v>
      </c>
      <c r="C43" s="65" t="s">
        <v>49</v>
      </c>
      <c r="D43" s="65" t="s">
        <v>50</v>
      </c>
      <c r="E43" s="86" t="s">
        <v>51</v>
      </c>
      <c r="F43" s="87"/>
      <c r="G43" s="87"/>
      <c r="H43" s="87"/>
      <c r="I43" s="87"/>
      <c r="J43" s="87"/>
      <c r="K43" s="88"/>
      <c r="L43" s="9"/>
      <c r="M43" s="9"/>
      <c r="N43" s="9"/>
      <c r="O43" s="9"/>
      <c r="P43" s="9"/>
      <c r="Q43" s="6"/>
    </row>
    <row r="44" spans="1:17" ht="33" customHeight="1">
      <c r="A44" s="52"/>
      <c r="B44" s="42"/>
      <c r="C44" s="44"/>
      <c r="D44" s="53"/>
      <c r="E44" s="89" t="s">
        <v>52</v>
      </c>
      <c r="F44" s="90"/>
      <c r="G44" s="90"/>
      <c r="H44" s="90"/>
      <c r="I44" s="90"/>
      <c r="J44" s="90"/>
      <c r="K44" s="91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16">
    <mergeCell ref="E40:K40"/>
    <mergeCell ref="E43:K43"/>
    <mergeCell ref="E44:K44"/>
    <mergeCell ref="G35:K35"/>
    <mergeCell ref="I7:K7"/>
    <mergeCell ref="G16:H16"/>
    <mergeCell ref="A5:C5"/>
    <mergeCell ref="E39:K39"/>
    <mergeCell ref="G15:H15"/>
    <mergeCell ref="A38:K38"/>
    <mergeCell ref="A34:K34"/>
    <mergeCell ref="G36:K36"/>
    <mergeCell ref="I5:K5"/>
    <mergeCell ref="I6:K6"/>
    <mergeCell ref="A14:K14"/>
    <mergeCell ref="A18:K18"/>
  </mergeCells>
  <pageMargins left="0.7" right="0.7" top="0.75" bottom="0.75" header="0.3" footer="0.3"/>
  <pageSetup scale="69" fitToHeight="0" orientation="portrait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Q63"/>
  <sheetViews>
    <sheetView topLeftCell="A26" zoomScale="115" zoomScaleNormal="115" workbookViewId="0">
      <selection activeCell="E44" sqref="E44:K44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57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58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56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14.4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10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4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>
        <v>38556</v>
      </c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>
        <v>4</v>
      </c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>
        <v>39</v>
      </c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0.72830117956617602</v>
      </c>
      <c r="B16" s="25">
        <f t="array" ref="B16">LOOKUP(2,1/(I20:I31&lt;&gt;""),I20:I31)</f>
        <v>0.76690637178905141</v>
      </c>
      <c r="C16" s="25">
        <f t="array" ref="C16">LOOKUP(2,1/(J20:J31&lt;&gt;""),J20:J31)</f>
        <v>0.94966114033866134</v>
      </c>
      <c r="D16" s="25">
        <f t="array" ref="D16">LOOKUP(2,1/(K20:K31&lt;&gt;""),K20:K31)</f>
        <v>0.86440149625935159</v>
      </c>
      <c r="E16" s="26">
        <v>1</v>
      </c>
      <c r="F16" s="26">
        <v>1</v>
      </c>
      <c r="G16" s="79">
        <f>A16</f>
        <v>0.72830117956617602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114556)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130614)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186454)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216844)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238369)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239910)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233205)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1674951.249225501</v>
      </c>
      <c r="C27" s="37">
        <v>2299805.7619832661</v>
      </c>
      <c r="D27" s="37">
        <f t="shared" si="1"/>
        <v>2184036.1624824526</v>
      </c>
      <c r="E27" s="37">
        <v>197729.89569105301</v>
      </c>
      <c r="F27" s="37">
        <f>IF(E27="", "", 208211)</f>
        <v>208211</v>
      </c>
      <c r="G27" s="37">
        <f t="shared" si="2"/>
        <v>509084.91325695161</v>
      </c>
      <c r="H27" s="38">
        <f t="shared" si="3"/>
        <v>0.72830117956617602</v>
      </c>
      <c r="I27" s="38">
        <f t="shared" si="4"/>
        <v>0.76690637178905141</v>
      </c>
      <c r="J27" s="38">
        <f t="shared" si="5"/>
        <v>0.94966114033866134</v>
      </c>
      <c r="K27" s="39">
        <v>0.86440149625935159</v>
      </c>
      <c r="L27" s="9"/>
      <c r="M27" s="7" t="str">
        <f t="shared" si="6"/>
        <v>Aug</v>
      </c>
      <c r="N27" s="40">
        <f t="shared" si="7"/>
        <v>0.76690637178905141</v>
      </c>
      <c r="O27" s="41">
        <f>IF(OR(I27="",I27=0),NA(),AVERAGE(I$20:I27))</f>
        <v>0.76690637178905141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173087)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157158)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121307)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100295)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1674951.249225501</v>
      </c>
      <c r="C32" s="68">
        <f t="shared" si="8"/>
        <v>2299805.7619832661</v>
      </c>
      <c r="D32" s="68">
        <f t="shared" si="8"/>
        <v>2184036.1624824526</v>
      </c>
      <c r="E32" s="67">
        <f t="shared" si="8"/>
        <v>197729.89569105301</v>
      </c>
      <c r="F32" s="67">
        <f t="shared" si="8"/>
        <v>208211</v>
      </c>
      <c r="G32" s="69">
        <f t="shared" si="8"/>
        <v>509084.91325695161</v>
      </c>
      <c r="H32" s="70">
        <f>IFERROR(AVERAGE(H20:H31),"")</f>
        <v>0.72830117956617602</v>
      </c>
      <c r="I32" s="70">
        <f>IFERROR(AVERAGE(I20:I31),"")</f>
        <v>0.76690637178905141</v>
      </c>
      <c r="J32" s="70">
        <f>IFERROR(AVERAGE(J20:J31),"")</f>
        <v>0.94966114033866134</v>
      </c>
      <c r="K32" s="70">
        <f>IFERROR(AVERAGE(K20:K31),"")</f>
        <v>0.86440149625935159</v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 ht="24.75" customHeight="1">
      <c r="A36" s="42"/>
      <c r="B36" s="43"/>
      <c r="C36" s="44"/>
      <c r="D36" s="44"/>
      <c r="E36" s="45"/>
      <c r="F36" s="45"/>
      <c r="G36" s="89" t="s">
        <v>43</v>
      </c>
      <c r="H36" s="90"/>
      <c r="I36" s="90"/>
      <c r="J36" s="90"/>
      <c r="K36" s="91"/>
      <c r="L36" s="9"/>
      <c r="M36" s="9"/>
      <c r="N36" s="9"/>
      <c r="O36" s="9"/>
      <c r="P36" s="9"/>
      <c r="Q36" s="6"/>
    </row>
    <row r="37" spans="1:17">
      <c r="A37" s="81"/>
      <c r="B37" s="81"/>
      <c r="C37" s="82"/>
      <c r="D37" s="83"/>
      <c r="E37" s="84"/>
      <c r="F37" s="85"/>
      <c r="G37" s="85"/>
      <c r="H37" s="85"/>
      <c r="I37" s="85"/>
      <c r="J37" s="85"/>
      <c r="K37" s="85"/>
      <c r="L37" s="9"/>
      <c r="M37" s="9"/>
      <c r="N37" s="9"/>
      <c r="O37" s="9"/>
      <c r="P37" s="9"/>
      <c r="Q37" s="6"/>
    </row>
    <row r="38" spans="1:17" ht="16.5" customHeight="1">
      <c r="A38" s="94" t="s">
        <v>44</v>
      </c>
      <c r="B38" s="95"/>
      <c r="C38" s="95"/>
      <c r="D38" s="95"/>
      <c r="E38" s="95"/>
      <c r="F38" s="95"/>
      <c r="G38" s="95"/>
      <c r="H38" s="95"/>
      <c r="I38" s="95"/>
      <c r="J38" s="95"/>
      <c r="K38" s="96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86" t="s">
        <v>41</v>
      </c>
      <c r="F39" s="87"/>
      <c r="G39" s="87"/>
      <c r="H39" s="87"/>
      <c r="I39" s="87"/>
      <c r="J39" s="87"/>
      <c r="K39" s="88"/>
    </row>
    <row r="40" spans="1:17" ht="16.5" customHeight="1">
      <c r="A40" s="42"/>
      <c r="B40" s="42"/>
      <c r="C40" s="51"/>
      <c r="D40" s="51"/>
      <c r="E40" s="89" t="s">
        <v>43</v>
      </c>
      <c r="F40" s="90"/>
      <c r="G40" s="90"/>
      <c r="H40" s="90"/>
      <c r="I40" s="90"/>
      <c r="J40" s="90"/>
      <c r="K40" s="91"/>
    </row>
    <row r="41" spans="1:17">
      <c r="A41" s="46"/>
      <c r="B41" s="46"/>
      <c r="C41" s="47"/>
      <c r="D41" s="48"/>
      <c r="E41" s="49"/>
      <c r="F41" s="50"/>
      <c r="G41" s="50"/>
      <c r="H41" s="50"/>
      <c r="I41" s="50"/>
      <c r="J41" s="50"/>
      <c r="K41" s="50"/>
    </row>
    <row r="42" spans="1:17" ht="16.5" customHeight="1">
      <c r="A42" s="60" t="s">
        <v>47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</row>
    <row r="43" spans="1:17" ht="33" customHeight="1">
      <c r="A43" s="65" t="s">
        <v>48</v>
      </c>
      <c r="B43" s="65" t="s">
        <v>37</v>
      </c>
      <c r="C43" s="65" t="s">
        <v>49</v>
      </c>
      <c r="D43" s="65" t="s">
        <v>50</v>
      </c>
      <c r="E43" s="86" t="s">
        <v>51</v>
      </c>
      <c r="F43" s="87"/>
      <c r="G43" s="87"/>
      <c r="H43" s="87"/>
      <c r="I43" s="87"/>
      <c r="J43" s="87"/>
      <c r="K43" s="88"/>
      <c r="L43" s="9"/>
      <c r="M43" s="9"/>
      <c r="N43" s="9"/>
      <c r="O43" s="9"/>
      <c r="P43" s="9"/>
      <c r="Q43" s="6"/>
    </row>
    <row r="44" spans="1:17" ht="33" customHeight="1">
      <c r="A44" s="52"/>
      <c r="B44" s="42"/>
      <c r="C44" s="44"/>
      <c r="D44" s="53"/>
      <c r="E44" s="89" t="s">
        <v>52</v>
      </c>
      <c r="F44" s="90"/>
      <c r="G44" s="90"/>
      <c r="H44" s="90"/>
      <c r="I44" s="90"/>
      <c r="J44" s="90"/>
      <c r="K44" s="91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9"/>
      <c r="M59" s="9"/>
      <c r="N59" s="9"/>
      <c r="O59" s="9"/>
      <c r="P59" s="9"/>
      <c r="Q59" s="6"/>
    </row>
    <row r="60" spans="1:17">
      <c r="L60" s="9"/>
      <c r="M60" s="9"/>
      <c r="N60" s="9"/>
      <c r="O60" s="9"/>
      <c r="P60" s="9"/>
      <c r="Q60" s="6"/>
    </row>
    <row r="61" spans="1:17">
      <c r="L61" s="9"/>
      <c r="M61" s="9"/>
      <c r="N61" s="9"/>
      <c r="O61" s="9"/>
      <c r="P61" s="9"/>
      <c r="Q61" s="6"/>
    </row>
    <row r="62" spans="1:17">
      <c r="L62" s="9"/>
      <c r="M62" s="9"/>
      <c r="N62" s="9"/>
      <c r="O62" s="9"/>
      <c r="P62" s="9"/>
      <c r="Q62" s="6"/>
    </row>
    <row r="63" spans="1:17">
      <c r="L63" s="6"/>
      <c r="M63" s="6"/>
      <c r="N63" s="6"/>
      <c r="O63" s="6"/>
      <c r="P63" s="6"/>
      <c r="Q63" s="6"/>
    </row>
  </sheetData>
  <mergeCells count="17">
    <mergeCell ref="E40:K40"/>
    <mergeCell ref="E39:K39"/>
    <mergeCell ref="E43:K43"/>
    <mergeCell ref="E44:K44"/>
    <mergeCell ref="G35:K35"/>
    <mergeCell ref="I7:K7"/>
    <mergeCell ref="G16:H16"/>
    <mergeCell ref="A5:C5"/>
    <mergeCell ref="G15:H15"/>
    <mergeCell ref="A37:K37"/>
    <mergeCell ref="A34:K34"/>
    <mergeCell ref="G36:K36"/>
    <mergeCell ref="I5:K5"/>
    <mergeCell ref="I6:K6"/>
    <mergeCell ref="A14:K14"/>
    <mergeCell ref="A18:K18"/>
    <mergeCell ref="A38:K38"/>
  </mergeCells>
  <pageMargins left="0.7" right="0.7" top="0.75" bottom="0.75" header="0.3" footer="0.3"/>
  <pageSetup scale="69" fitToHeight="0"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pageSetUpPr fitToPage="1"/>
  </sheetPr>
  <dimension ref="A1:Q59"/>
  <sheetViews>
    <sheetView topLeftCell="A29" zoomScale="115" zoomScaleNormal="115" workbookViewId="0">
      <selection activeCell="E40" sqref="E40:K40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59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60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56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2.7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2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31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/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/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/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0.93997526493519623</v>
      </c>
      <c r="B16" s="25">
        <f t="array" ref="B16">LOOKUP(2,1/(I20:I31&lt;&gt;""),I20:I31)</f>
        <v>1.928307386512961</v>
      </c>
      <c r="C16" s="25">
        <f t="array" ref="C16">LOOKUP(2,1/(J20:J31&lt;&gt;""),J20:J31)</f>
        <v>0.48746132048739016</v>
      </c>
      <c r="D16" s="25">
        <f t="array" ref="D16">LOOKUP(2,1/(K20:K31&lt;&gt;""),K20:K31)</f>
        <v>46.432062561094817</v>
      </c>
      <c r="E16" s="26">
        <v>1</v>
      </c>
      <c r="F16" s="26">
        <v>1</v>
      </c>
      <c r="G16" s="79">
        <f>A16</f>
        <v>0.93997526493519623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114556)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130614)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186454)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216844)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238369)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239910)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233205)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328403.054</v>
      </c>
      <c r="C27" s="37">
        <v>349374.14445968508</v>
      </c>
      <c r="D27" s="37">
        <f t="shared" si="1"/>
        <v>170306.38180247031</v>
      </c>
      <c r="E27" s="37">
        <v>101494.80899999999</v>
      </c>
      <c r="F27" s="37">
        <f>IF(E27="", "", 208211)</f>
        <v>208211</v>
      </c>
      <c r="G27" s="37">
        <f t="shared" si="2"/>
        <v>-158096.6721975297</v>
      </c>
      <c r="H27" s="38">
        <f t="shared" si="3"/>
        <v>0.93997526493519623</v>
      </c>
      <c r="I27" s="38">
        <f t="shared" si="4"/>
        <v>1.928307386512961</v>
      </c>
      <c r="J27" s="38">
        <f t="shared" si="5"/>
        <v>0.48746132048739016</v>
      </c>
      <c r="K27" s="39">
        <v>46.432062561094817</v>
      </c>
      <c r="L27" s="9"/>
      <c r="M27" s="7" t="str">
        <f t="shared" si="6"/>
        <v>Aug</v>
      </c>
      <c r="N27" s="40">
        <f t="shared" si="7"/>
        <v>1.928307386512961</v>
      </c>
      <c r="O27" s="41">
        <f>IF(OR(I27="",I27=0),NA(),AVERAGE(I$20:I27))</f>
        <v>1.928307386512961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173087)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157158)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121307)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100295)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328403.054</v>
      </c>
      <c r="C32" s="68">
        <f t="shared" si="8"/>
        <v>349374.14445968508</v>
      </c>
      <c r="D32" s="68">
        <f t="shared" si="8"/>
        <v>170306.38180247031</v>
      </c>
      <c r="E32" s="67">
        <f t="shared" si="8"/>
        <v>101494.80899999999</v>
      </c>
      <c r="F32" s="67">
        <f t="shared" si="8"/>
        <v>208211</v>
      </c>
      <c r="G32" s="69">
        <f t="shared" si="8"/>
        <v>-158096.6721975297</v>
      </c>
      <c r="H32" s="70">
        <f>IFERROR(AVERAGE(H20:H31),"")</f>
        <v>0.93997526493519623</v>
      </c>
      <c r="I32" s="70">
        <f>IFERROR(AVERAGE(I20:I31),"")</f>
        <v>1.928307386512961</v>
      </c>
      <c r="J32" s="70">
        <f>IFERROR(AVERAGE(J20:J31),"")</f>
        <v>0.48746132048739016</v>
      </c>
      <c r="K32" s="70">
        <f>IFERROR(AVERAGE(K20:K31),"")</f>
        <v>46.432062561094817</v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>
      <c r="A36" s="42"/>
      <c r="B36" s="43"/>
      <c r="C36" s="44"/>
      <c r="D36" s="44"/>
      <c r="E36" s="45"/>
      <c r="F36" s="45"/>
      <c r="G36" s="75" t="s">
        <v>43</v>
      </c>
      <c r="H36" s="73"/>
      <c r="I36" s="73"/>
      <c r="J36" s="73"/>
      <c r="K36" s="74"/>
      <c r="L36" s="9"/>
      <c r="M36" s="9"/>
      <c r="N36" s="9"/>
      <c r="O36" s="9"/>
      <c r="P36" s="9"/>
      <c r="Q36" s="6"/>
    </row>
    <row r="37" spans="1:17">
      <c r="A37" s="46"/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6"/>
    </row>
    <row r="38" spans="1:17">
      <c r="A38" s="72" t="s">
        <v>44</v>
      </c>
      <c r="B38" s="73"/>
      <c r="C38" s="73"/>
      <c r="D38" s="73"/>
      <c r="E38" s="73"/>
      <c r="F38" s="73"/>
      <c r="G38" s="73"/>
      <c r="H38" s="73"/>
      <c r="I38" s="73"/>
      <c r="J38" s="73"/>
      <c r="K38" s="74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78" t="s">
        <v>41</v>
      </c>
      <c r="F39" s="73"/>
      <c r="G39" s="73"/>
      <c r="H39" s="73"/>
      <c r="I39" s="73"/>
      <c r="J39" s="73"/>
      <c r="K39" s="74"/>
      <c r="L39" s="9"/>
      <c r="M39" s="9"/>
      <c r="N39" s="9"/>
      <c r="O39" s="9"/>
      <c r="P39" s="9"/>
      <c r="Q39" s="6"/>
    </row>
    <row r="40" spans="1:17" ht="16.5" customHeight="1">
      <c r="A40" s="42"/>
      <c r="B40" s="42"/>
      <c r="C40" s="51"/>
      <c r="D40" s="51"/>
      <c r="E40" s="89" t="s">
        <v>43</v>
      </c>
      <c r="F40" s="90"/>
      <c r="G40" s="90"/>
      <c r="H40" s="90"/>
      <c r="I40" s="90"/>
      <c r="J40" s="90"/>
      <c r="K40" s="91"/>
      <c r="L40" s="9"/>
      <c r="M40" s="9"/>
      <c r="N40" s="9"/>
      <c r="O40" s="9"/>
      <c r="P40" s="9"/>
      <c r="Q40" s="6"/>
    </row>
    <row r="41" spans="1:17" ht="16.5" customHeight="1">
      <c r="A41" s="46"/>
      <c r="B41" s="46"/>
      <c r="C41" s="47"/>
      <c r="D41" s="48"/>
      <c r="E41" s="49"/>
      <c r="F41" s="50"/>
      <c r="G41" s="50"/>
      <c r="H41" s="50"/>
      <c r="I41" s="50"/>
      <c r="J41" s="50"/>
      <c r="K41" s="50"/>
      <c r="L41" s="9"/>
      <c r="M41" s="9"/>
      <c r="N41" s="9"/>
      <c r="O41" s="9"/>
      <c r="P41" s="9"/>
      <c r="Q41" s="6"/>
    </row>
    <row r="42" spans="1:17" ht="33" customHeight="1">
      <c r="A42" s="60" t="s">
        <v>47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9"/>
      <c r="M42" s="9"/>
      <c r="N42" s="9"/>
      <c r="O42" s="9"/>
      <c r="P42" s="9"/>
      <c r="Q42" s="6"/>
    </row>
    <row r="43" spans="1:17" ht="16.5" customHeight="1">
      <c r="A43" s="65" t="s">
        <v>48</v>
      </c>
      <c r="B43" s="65" t="s">
        <v>37</v>
      </c>
      <c r="C43" s="65" t="s">
        <v>49</v>
      </c>
      <c r="D43" s="65" t="s">
        <v>50</v>
      </c>
      <c r="E43" s="86" t="s">
        <v>51</v>
      </c>
      <c r="F43" s="87"/>
      <c r="G43" s="87"/>
      <c r="H43" s="87"/>
      <c r="I43" s="87"/>
      <c r="J43" s="87"/>
      <c r="K43" s="88"/>
      <c r="L43" s="9"/>
      <c r="M43" s="9"/>
      <c r="N43" s="9"/>
      <c r="O43" s="9"/>
      <c r="P43" s="9"/>
      <c r="Q43" s="6"/>
    </row>
    <row r="44" spans="1:17" ht="33" customHeight="1">
      <c r="A44" s="52"/>
      <c r="B44" s="42"/>
      <c r="C44" s="44"/>
      <c r="D44" s="53"/>
      <c r="E44" s="89" t="s">
        <v>52</v>
      </c>
      <c r="F44" s="90"/>
      <c r="G44" s="90"/>
      <c r="H44" s="90"/>
      <c r="I44" s="90"/>
      <c r="J44" s="90"/>
      <c r="K44" s="91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16">
    <mergeCell ref="E43:K43"/>
    <mergeCell ref="E44:K44"/>
    <mergeCell ref="E40:K40"/>
    <mergeCell ref="A38:K38"/>
    <mergeCell ref="I5:K5"/>
    <mergeCell ref="A14:K14"/>
    <mergeCell ref="G36:K36"/>
    <mergeCell ref="E39:K39"/>
    <mergeCell ref="I6:K6"/>
    <mergeCell ref="A34:K34"/>
    <mergeCell ref="A18:K18"/>
    <mergeCell ref="G35:K35"/>
    <mergeCell ref="I7:K7"/>
    <mergeCell ref="G16:H16"/>
    <mergeCell ref="A5:C5"/>
    <mergeCell ref="G15:H15"/>
  </mergeCells>
  <pageMargins left="0.7" right="0.7" top="0.75" bottom="0.75" header="0.3" footer="0.3"/>
  <pageSetup scale="69" fitToHeight="0"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A1:Q59"/>
  <sheetViews>
    <sheetView topLeftCell="A32" zoomScale="115" zoomScaleNormal="115" workbookViewId="0">
      <selection activeCell="M34" sqref="M34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61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62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56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7.4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5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43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>
        <v>19400</v>
      </c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>
        <v>2</v>
      </c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>
        <v>43</v>
      </c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0.85149372564414882</v>
      </c>
      <c r="B16" s="25">
        <f t="array" ref="B16">LOOKUP(2,1/(I20:I31&lt;&gt;""),I20:I31)</f>
        <v>0.83460685868922846</v>
      </c>
      <c r="C16" s="25">
        <f t="array" ref="C16">LOOKUP(2,1/(J20:J31&lt;&gt;""),J20:J31)</f>
        <v>1.0202333191719053</v>
      </c>
      <c r="D16" s="25">
        <f t="array" ref="D16">LOOKUP(2,1/(K20:K31&lt;&gt;""),K20:K31)</f>
        <v>0.94959674891246726</v>
      </c>
      <c r="E16" s="26">
        <v>1</v>
      </c>
      <c r="F16" s="26">
        <v>1</v>
      </c>
      <c r="G16" s="79">
        <f>A16</f>
        <v>0.85149372564414882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80912)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93411)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139246)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166650)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190256)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194436)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188720)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915862.56076500006</v>
      </c>
      <c r="C27" s="37">
        <v>1075595.1960446411</v>
      </c>
      <c r="D27" s="37">
        <f t="shared" si="1"/>
        <v>1097358.0569459803</v>
      </c>
      <c r="E27" s="37">
        <v>171214.53539010999</v>
      </c>
      <c r="F27" s="37">
        <f>IF(E27="", "", 167819)</f>
        <v>167819</v>
      </c>
      <c r="G27" s="37">
        <f t="shared" si="2"/>
        <v>181495.49618098023</v>
      </c>
      <c r="H27" s="38">
        <f t="shared" si="3"/>
        <v>0.85149372564414882</v>
      </c>
      <c r="I27" s="38">
        <f t="shared" si="4"/>
        <v>0.83460685868922846</v>
      </c>
      <c r="J27" s="38">
        <f t="shared" si="5"/>
        <v>1.0202333191719053</v>
      </c>
      <c r="K27" s="39">
        <v>0.94959674891246726</v>
      </c>
      <c r="L27" s="9"/>
      <c r="M27" s="7" t="str">
        <f t="shared" si="6"/>
        <v>Aug</v>
      </c>
      <c r="N27" s="40">
        <f t="shared" si="7"/>
        <v>0.83460685868922846</v>
      </c>
      <c r="O27" s="41">
        <f>IF(OR(I27="",I27=0),NA(),AVERAGE(I$20:I27))</f>
        <v>0.83460685868922846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135381)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116744)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86507)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71529)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915862.56076500006</v>
      </c>
      <c r="C32" s="68">
        <f t="shared" si="8"/>
        <v>1075595.1960446411</v>
      </c>
      <c r="D32" s="68">
        <f t="shared" si="8"/>
        <v>1097358.0569459803</v>
      </c>
      <c r="E32" s="67">
        <f t="shared" si="8"/>
        <v>171214.53539010999</v>
      </c>
      <c r="F32" s="67">
        <f t="shared" si="8"/>
        <v>167819</v>
      </c>
      <c r="G32" s="69">
        <f t="shared" si="8"/>
        <v>181495.49618098023</v>
      </c>
      <c r="H32" s="70">
        <f>IFERROR(AVERAGE(H20:H31),"")</f>
        <v>0.85149372564414882</v>
      </c>
      <c r="I32" s="70">
        <f>IFERROR(AVERAGE(I20:I31),"")</f>
        <v>0.83460685868922846</v>
      </c>
      <c r="J32" s="70">
        <f>IFERROR(AVERAGE(J20:J31),"")</f>
        <v>1.0202333191719053</v>
      </c>
      <c r="K32" s="70">
        <f>IFERROR(AVERAGE(K20:K31),"")</f>
        <v>0.94959674891246726</v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>
      <c r="A36" s="42"/>
      <c r="B36" s="43"/>
      <c r="C36" s="44"/>
      <c r="D36" s="44"/>
      <c r="E36" s="45"/>
      <c r="F36" s="45"/>
      <c r="G36" s="75" t="s">
        <v>43</v>
      </c>
      <c r="H36" s="73"/>
      <c r="I36" s="73"/>
      <c r="J36" s="73"/>
      <c r="K36" s="74"/>
      <c r="L36" s="9"/>
      <c r="M36" s="9"/>
      <c r="N36" s="9"/>
      <c r="O36" s="9"/>
      <c r="P36" s="9"/>
      <c r="Q36" s="6"/>
    </row>
    <row r="37" spans="1:17">
      <c r="A37" s="46"/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6"/>
    </row>
    <row r="38" spans="1:17">
      <c r="A38" s="72" t="s">
        <v>44</v>
      </c>
      <c r="B38" s="73"/>
      <c r="C38" s="73"/>
      <c r="D38" s="73"/>
      <c r="E38" s="73"/>
      <c r="F38" s="73"/>
      <c r="G38" s="73"/>
      <c r="H38" s="73"/>
      <c r="I38" s="73"/>
      <c r="J38" s="73"/>
      <c r="K38" s="74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78" t="s">
        <v>41</v>
      </c>
      <c r="F39" s="73"/>
      <c r="G39" s="73"/>
      <c r="H39" s="73"/>
      <c r="I39" s="73"/>
      <c r="J39" s="73"/>
      <c r="K39" s="74"/>
      <c r="L39" s="9"/>
      <c r="M39" s="9"/>
      <c r="N39" s="9"/>
      <c r="O39" s="9"/>
      <c r="P39" s="9"/>
      <c r="Q39" s="6"/>
    </row>
    <row r="40" spans="1:17">
      <c r="A40" s="42"/>
      <c r="B40" s="42"/>
      <c r="C40" s="51"/>
      <c r="D40" s="51"/>
      <c r="E40" s="75" t="s">
        <v>43</v>
      </c>
      <c r="F40" s="73"/>
      <c r="G40" s="73"/>
      <c r="H40" s="73"/>
      <c r="I40" s="73"/>
      <c r="J40" s="73"/>
      <c r="K40" s="74"/>
      <c r="L40" s="9"/>
      <c r="M40" s="9"/>
      <c r="N40" s="9"/>
      <c r="O40" s="9"/>
      <c r="P40" s="9"/>
      <c r="Q40" s="6"/>
    </row>
    <row r="41" spans="1:17">
      <c r="A41" s="46"/>
      <c r="B41" s="46"/>
      <c r="C41" s="47"/>
      <c r="D41" s="48"/>
      <c r="E41" s="49"/>
      <c r="F41" s="50"/>
      <c r="G41" s="50"/>
      <c r="H41" s="50"/>
      <c r="I41" s="50"/>
      <c r="J41" s="50"/>
      <c r="K41" s="50"/>
      <c r="L41" s="9"/>
      <c r="M41" s="9"/>
      <c r="N41" s="9"/>
      <c r="O41" s="9"/>
      <c r="P41" s="9"/>
      <c r="Q41" s="6"/>
    </row>
    <row r="42" spans="1:17">
      <c r="A42" s="60" t="s">
        <v>47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9"/>
      <c r="M42" s="9"/>
      <c r="N42" s="9"/>
      <c r="O42" s="9"/>
      <c r="P42" s="9"/>
      <c r="Q42" s="6"/>
    </row>
    <row r="43" spans="1:17">
      <c r="A43" s="65" t="s">
        <v>48</v>
      </c>
      <c r="B43" s="65" t="s">
        <v>37</v>
      </c>
      <c r="C43" s="65" t="s">
        <v>49</v>
      </c>
      <c r="D43" s="65" t="s">
        <v>50</v>
      </c>
      <c r="E43" s="78" t="s">
        <v>51</v>
      </c>
      <c r="F43" s="73"/>
      <c r="G43" s="73"/>
      <c r="H43" s="73"/>
      <c r="I43" s="73"/>
      <c r="J43" s="73"/>
      <c r="K43" s="74"/>
      <c r="L43" s="9"/>
      <c r="M43" s="9"/>
      <c r="N43" s="9"/>
      <c r="O43" s="9"/>
      <c r="P43" s="9"/>
      <c r="Q43" s="6"/>
    </row>
    <row r="44" spans="1:17">
      <c r="A44" s="52"/>
      <c r="B44" s="42"/>
      <c r="C44" s="44"/>
      <c r="D44" s="53"/>
      <c r="E44" s="75" t="s">
        <v>52</v>
      </c>
      <c r="F44" s="73"/>
      <c r="G44" s="73"/>
      <c r="H44" s="73"/>
      <c r="I44" s="73"/>
      <c r="J44" s="73"/>
      <c r="K44" s="74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16">
    <mergeCell ref="G35:K35"/>
    <mergeCell ref="I7:K7"/>
    <mergeCell ref="G16:H16"/>
    <mergeCell ref="A5:C5"/>
    <mergeCell ref="E44:K44"/>
    <mergeCell ref="G15:H15"/>
    <mergeCell ref="I6:K6"/>
    <mergeCell ref="A38:K38"/>
    <mergeCell ref="I5:K5"/>
    <mergeCell ref="E43:K43"/>
    <mergeCell ref="G36:K36"/>
    <mergeCell ref="E39:K39"/>
    <mergeCell ref="A34:K34"/>
    <mergeCell ref="E40:K40"/>
    <mergeCell ref="A14:K14"/>
    <mergeCell ref="A18:K18"/>
  </mergeCells>
  <pageMargins left="0.7" right="0.7" top="0.75" bottom="0.75" header="0.3" footer="0.3"/>
  <pageSetup scale="69" fitToHeight="0" orientation="portrait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pageSetUpPr fitToPage="1"/>
  </sheetPr>
  <dimension ref="A1:Q59"/>
  <sheetViews>
    <sheetView topLeftCell="A35" zoomScale="115" zoomScaleNormal="115" workbookViewId="0">
      <selection activeCell="E44" sqref="E44:K44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63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64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4.5999999999999996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3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26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>
        <v>10612</v>
      </c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>
        <v>2</v>
      </c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>
        <v>24</v>
      </c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0.95473439224657186</v>
      </c>
      <c r="B16" s="25">
        <f t="array" ref="B16">LOOKUP(2,1/(I20:I31&lt;&gt;""),I20:I31)</f>
        <v>1.3280943791196536</v>
      </c>
      <c r="C16" s="25">
        <f t="array" ref="C16">LOOKUP(2,1/(J20:J31&lt;&gt;""),J20:J31)</f>
        <v>0.71887541070645233</v>
      </c>
      <c r="D16" s="25">
        <f t="array" ref="D16">LOOKUP(2,1/(K20:K31&lt;&gt;""),K20:K31)</f>
        <v>1</v>
      </c>
      <c r="E16" s="26">
        <v>1</v>
      </c>
      <c r="F16" s="26">
        <v>1</v>
      </c>
      <c r="G16" s="79">
        <f>A16</f>
        <v>0.95473439224657186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99856)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119195)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171193)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202045)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227629)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231029)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221317)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703233.30454699881</v>
      </c>
      <c r="C27" s="37">
        <v>736574.81102386035</v>
      </c>
      <c r="D27" s="37">
        <f t="shared" si="1"/>
        <v>529505.51979080518</v>
      </c>
      <c r="E27" s="37">
        <v>150449.84032969989</v>
      </c>
      <c r="F27" s="37">
        <f>IF(E27="", "", 209285)</f>
        <v>209285</v>
      </c>
      <c r="G27" s="37">
        <f t="shared" si="2"/>
        <v>-173727.78475619364</v>
      </c>
      <c r="H27" s="38">
        <f t="shared" si="3"/>
        <v>0.95473439224657186</v>
      </c>
      <c r="I27" s="38">
        <f t="shared" si="4"/>
        <v>1.3280943791196536</v>
      </c>
      <c r="J27" s="38">
        <f t="shared" si="5"/>
        <v>0.71887541070645233</v>
      </c>
      <c r="K27" s="39">
        <v>1</v>
      </c>
      <c r="L27" s="9"/>
      <c r="M27" s="7" t="str">
        <f t="shared" si="6"/>
        <v>Aug</v>
      </c>
      <c r="N27" s="40">
        <f t="shared" si="7"/>
        <v>1.3280943791196536</v>
      </c>
      <c r="O27" s="41">
        <f>IF(OR(I27="",I27=0),NA(),AVERAGE(I$20:I27))</f>
        <v>1.3280943791196536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170177)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146801)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107755)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87331)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703233.30454699881</v>
      </c>
      <c r="C32" s="68">
        <f t="shared" si="8"/>
        <v>736574.81102386035</v>
      </c>
      <c r="D32" s="68">
        <f t="shared" si="8"/>
        <v>529505.51979080518</v>
      </c>
      <c r="E32" s="67">
        <f t="shared" si="8"/>
        <v>150449.84032969989</v>
      </c>
      <c r="F32" s="67">
        <f t="shared" si="8"/>
        <v>209285</v>
      </c>
      <c r="G32" s="69">
        <f t="shared" si="8"/>
        <v>-173727.78475619364</v>
      </c>
      <c r="H32" s="70">
        <f>IFERROR(AVERAGE(H20:H31),"")</f>
        <v>0.95473439224657186</v>
      </c>
      <c r="I32" s="70">
        <f>IFERROR(AVERAGE(I20:I31),"")</f>
        <v>1.3280943791196536</v>
      </c>
      <c r="J32" s="70">
        <f>IFERROR(AVERAGE(J20:J31),"")</f>
        <v>0.71887541070645233</v>
      </c>
      <c r="K32" s="70">
        <f>IFERROR(AVERAGE(K20:K31),"")</f>
        <v>1</v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>
      <c r="A36" s="42"/>
      <c r="B36" s="43"/>
      <c r="C36" s="44"/>
      <c r="D36" s="44"/>
      <c r="E36" s="45"/>
      <c r="F36" s="45"/>
      <c r="G36" s="75" t="s">
        <v>43</v>
      </c>
      <c r="H36" s="73"/>
      <c r="I36" s="73"/>
      <c r="J36" s="73"/>
      <c r="K36" s="74"/>
      <c r="L36" s="9"/>
      <c r="M36" s="9"/>
      <c r="N36" s="9"/>
      <c r="O36" s="9"/>
      <c r="P36" s="9"/>
      <c r="Q36" s="6"/>
    </row>
    <row r="37" spans="1:17">
      <c r="A37" s="46"/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6"/>
    </row>
    <row r="38" spans="1:17">
      <c r="A38" s="72" t="s">
        <v>44</v>
      </c>
      <c r="B38" s="73"/>
      <c r="C38" s="73"/>
      <c r="D38" s="73"/>
      <c r="E38" s="73"/>
      <c r="F38" s="73"/>
      <c r="G38" s="73"/>
      <c r="H38" s="73"/>
      <c r="I38" s="73"/>
      <c r="J38" s="73"/>
      <c r="K38" s="74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78" t="s">
        <v>41</v>
      </c>
      <c r="F39" s="73"/>
      <c r="G39" s="73"/>
      <c r="H39" s="73"/>
      <c r="I39" s="73"/>
      <c r="J39" s="73"/>
      <c r="K39" s="74"/>
      <c r="L39" s="9"/>
      <c r="M39" s="9"/>
      <c r="N39" s="9"/>
      <c r="O39" s="9"/>
      <c r="P39" s="9"/>
      <c r="Q39" s="6"/>
    </row>
    <row r="40" spans="1:17" ht="16.5" customHeight="1">
      <c r="A40" s="42"/>
      <c r="B40" s="42"/>
      <c r="C40" s="51"/>
      <c r="D40" s="51"/>
      <c r="E40" s="89" t="s">
        <v>43</v>
      </c>
      <c r="F40" s="90"/>
      <c r="G40" s="90"/>
      <c r="H40" s="90"/>
      <c r="I40" s="90"/>
      <c r="J40" s="90"/>
      <c r="K40" s="91"/>
      <c r="L40" s="9"/>
      <c r="M40" s="9"/>
      <c r="N40" s="9"/>
      <c r="O40" s="9"/>
      <c r="P40" s="9"/>
      <c r="Q40" s="6"/>
    </row>
    <row r="41" spans="1:17" ht="16.5" customHeight="1">
      <c r="A41" s="46"/>
      <c r="B41" s="46"/>
      <c r="C41" s="47"/>
      <c r="D41" s="48"/>
      <c r="E41" s="49"/>
      <c r="F41" s="50"/>
      <c r="G41" s="50"/>
      <c r="H41" s="50"/>
      <c r="I41" s="50"/>
      <c r="J41" s="50"/>
      <c r="K41" s="50"/>
      <c r="L41" s="9"/>
      <c r="M41" s="9"/>
      <c r="N41" s="9"/>
      <c r="O41" s="9"/>
      <c r="P41" s="9"/>
      <c r="Q41" s="6"/>
    </row>
    <row r="42" spans="1:17" ht="18.75" customHeight="1">
      <c r="A42" s="60" t="s">
        <v>47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9"/>
      <c r="M42" s="9"/>
      <c r="N42" s="9"/>
      <c r="O42" s="9"/>
      <c r="P42" s="9"/>
      <c r="Q42" s="6"/>
    </row>
    <row r="43" spans="1:17" ht="16.5" customHeight="1">
      <c r="A43" s="65" t="s">
        <v>48</v>
      </c>
      <c r="B43" s="65" t="s">
        <v>37</v>
      </c>
      <c r="C43" s="65" t="s">
        <v>49</v>
      </c>
      <c r="D43" s="65" t="s">
        <v>50</v>
      </c>
      <c r="E43" s="86" t="s">
        <v>51</v>
      </c>
      <c r="F43" s="87"/>
      <c r="G43" s="87"/>
      <c r="H43" s="87"/>
      <c r="I43" s="87"/>
      <c r="J43" s="87"/>
      <c r="K43" s="88"/>
      <c r="L43" s="9"/>
      <c r="M43" s="9"/>
      <c r="N43" s="9"/>
      <c r="O43" s="9"/>
      <c r="P43" s="9"/>
      <c r="Q43" s="6"/>
    </row>
    <row r="44" spans="1:17" ht="33" customHeight="1">
      <c r="A44" s="52"/>
      <c r="B44" s="42"/>
      <c r="C44" s="44"/>
      <c r="D44" s="53"/>
      <c r="E44" s="89" t="s">
        <v>52</v>
      </c>
      <c r="F44" s="90"/>
      <c r="G44" s="90"/>
      <c r="H44" s="90"/>
      <c r="I44" s="90"/>
      <c r="J44" s="90"/>
      <c r="K44" s="91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16">
    <mergeCell ref="E40:K40"/>
    <mergeCell ref="E43:K43"/>
    <mergeCell ref="E44:K44"/>
    <mergeCell ref="G35:K35"/>
    <mergeCell ref="I7:K7"/>
    <mergeCell ref="G16:H16"/>
    <mergeCell ref="A5:C5"/>
    <mergeCell ref="E39:K39"/>
    <mergeCell ref="G15:H15"/>
    <mergeCell ref="A38:K38"/>
    <mergeCell ref="A34:K34"/>
    <mergeCell ref="G36:K36"/>
    <mergeCell ref="I5:K5"/>
    <mergeCell ref="I6:K6"/>
    <mergeCell ref="A14:K14"/>
    <mergeCell ref="A18:K18"/>
  </mergeCells>
  <pageMargins left="0.7" right="0.7" top="0.75" bottom="0.75" header="0.3" footer="0.3"/>
  <pageSetup scale="69" fitToHeight="0" orientation="portrait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pageSetUpPr fitToPage="1"/>
  </sheetPr>
  <dimension ref="A1:Q59"/>
  <sheetViews>
    <sheetView topLeftCell="A26" zoomScale="115" zoomScaleNormal="115" workbookViewId="0">
      <selection activeCell="A36" sqref="A36:XFD36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65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66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56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7.2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5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2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>
        <v>20020</v>
      </c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>
        <v>2</v>
      </c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>
        <v>32</v>
      </c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0.40989709040490901</v>
      </c>
      <c r="B16" s="25" t="e">
        <f t="array" ref="B16">LOOKUP(2,1/(I20:I31&lt;&gt;""),I20:I31)</f>
        <v>#N/A</v>
      </c>
      <c r="C16" s="25">
        <f t="array" ref="C16">LOOKUP(2,1/(J20:J31&lt;&gt;""),J20:J31)</f>
        <v>0</v>
      </c>
      <c r="D16" s="25" t="e">
        <f t="array" ref="D16">LOOKUP(2,1/(K20:K31&lt;&gt;""),K20:K31)</f>
        <v>#N/A</v>
      </c>
      <c r="E16" s="26">
        <v>1</v>
      </c>
      <c r="F16" s="26">
        <v>1</v>
      </c>
      <c r="G16" s="79">
        <f>A16</f>
        <v>0.40989709040490901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109810)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126923)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180894)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215374)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237618)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239780)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232087)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472460.64434924931</v>
      </c>
      <c r="C27" s="37">
        <v>1152632.3445783381</v>
      </c>
      <c r="D27" s="37">
        <f t="shared" si="1"/>
        <v>0</v>
      </c>
      <c r="E27" s="37">
        <v>0</v>
      </c>
      <c r="F27" s="37">
        <f>IF(E27="", "", 208596)</f>
        <v>208596</v>
      </c>
      <c r="G27" s="37">
        <f t="shared" si="2"/>
        <v>-472460.64434924931</v>
      </c>
      <c r="H27" s="38">
        <f t="shared" si="3"/>
        <v>0.40989709040490901</v>
      </c>
      <c r="I27" s="38" t="e">
        <f t="shared" si="4"/>
        <v>#DIV/0!</v>
      </c>
      <c r="J27" s="38">
        <f t="shared" si="5"/>
        <v>0</v>
      </c>
      <c r="K27" s="39"/>
      <c r="L27" s="9"/>
      <c r="M27" s="7" t="str">
        <f t="shared" si="6"/>
        <v>Aug</v>
      </c>
      <c r="N27" s="40" t="e">
        <f t="shared" si="7"/>
        <v>#DIV/0!</v>
      </c>
      <c r="O27" s="41" t="e">
        <f>IF(OR(I27="",I27=0),NA(),AVERAGE(I$20:I27))</f>
        <v>#DIV/0!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165495)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152945)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120319)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96653)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472460.64434924931</v>
      </c>
      <c r="C32" s="68">
        <f t="shared" si="8"/>
        <v>1152632.3445783381</v>
      </c>
      <c r="D32" s="68">
        <f t="shared" si="8"/>
        <v>0</v>
      </c>
      <c r="E32" s="67">
        <f t="shared" si="8"/>
        <v>0</v>
      </c>
      <c r="F32" s="67">
        <f t="shared" si="8"/>
        <v>208596</v>
      </c>
      <c r="G32" s="69">
        <f t="shared" si="8"/>
        <v>-472460.64434924931</v>
      </c>
      <c r="H32" s="70">
        <f>IFERROR(AVERAGE(H20:H31),"")</f>
        <v>0.40989709040490901</v>
      </c>
      <c r="I32" s="70" t="str">
        <f>IFERROR(AVERAGE(I20:I31),"")</f>
        <v/>
      </c>
      <c r="J32" s="70">
        <f>IFERROR(AVERAGE(J20:J31),"")</f>
        <v>0</v>
      </c>
      <c r="K32" s="70" t="str">
        <f>IFERROR(AVERAGE(K20:K31),"")</f>
        <v/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 ht="16.5" customHeight="1">
      <c r="A36" s="42"/>
      <c r="B36" s="43"/>
      <c r="C36" s="44"/>
      <c r="D36" s="44"/>
      <c r="E36" s="45"/>
      <c r="F36" s="45"/>
      <c r="G36" s="89" t="s">
        <v>43</v>
      </c>
      <c r="H36" s="90"/>
      <c r="I36" s="90"/>
      <c r="J36" s="90"/>
      <c r="K36" s="91"/>
      <c r="L36" s="9"/>
      <c r="M36" s="9"/>
      <c r="N36" s="9"/>
      <c r="O36" s="9"/>
      <c r="P36" s="9"/>
      <c r="Q36" s="6"/>
    </row>
    <row r="37" spans="1:17">
      <c r="A37" s="81"/>
      <c r="B37" s="81"/>
      <c r="C37" s="82"/>
      <c r="D37" s="83"/>
      <c r="E37" s="84"/>
      <c r="F37" s="85"/>
      <c r="G37" s="85"/>
      <c r="H37" s="85"/>
      <c r="I37" s="85"/>
      <c r="J37" s="85"/>
      <c r="K37" s="85"/>
      <c r="L37" s="9"/>
      <c r="M37" s="9"/>
      <c r="N37" s="9"/>
      <c r="O37" s="9"/>
      <c r="P37" s="9"/>
      <c r="Q37" s="6"/>
    </row>
    <row r="38" spans="1:17">
      <c r="A38" s="92" t="s">
        <v>44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86" t="s">
        <v>41</v>
      </c>
      <c r="F39" s="87"/>
      <c r="G39" s="87"/>
      <c r="H39" s="87"/>
      <c r="I39" s="87"/>
      <c r="J39" s="87"/>
      <c r="K39" s="88"/>
      <c r="L39" s="9"/>
      <c r="M39" s="9"/>
      <c r="N39" s="9"/>
      <c r="O39" s="9"/>
      <c r="P39" s="9"/>
      <c r="Q39" s="6"/>
    </row>
    <row r="40" spans="1:17" ht="16.5" customHeight="1">
      <c r="A40" s="42"/>
      <c r="B40" s="42"/>
      <c r="C40" s="51"/>
      <c r="D40" s="51"/>
      <c r="E40" s="89" t="s">
        <v>43</v>
      </c>
      <c r="F40" s="90"/>
      <c r="G40" s="90"/>
      <c r="H40" s="90"/>
      <c r="I40" s="90"/>
      <c r="J40" s="90"/>
      <c r="K40" s="91"/>
    </row>
    <row r="41" spans="1:17">
      <c r="A41" s="46"/>
      <c r="B41" s="46"/>
      <c r="C41" s="47"/>
      <c r="D41" s="48"/>
      <c r="E41" s="49"/>
      <c r="F41" s="50"/>
      <c r="G41" s="50"/>
      <c r="H41" s="50"/>
      <c r="I41" s="50"/>
      <c r="J41" s="50"/>
      <c r="K41" s="50"/>
      <c r="L41" s="9"/>
      <c r="M41" s="9"/>
      <c r="N41" s="9"/>
      <c r="O41" s="9"/>
      <c r="P41" s="9"/>
      <c r="Q41" s="6"/>
    </row>
    <row r="42" spans="1:17">
      <c r="A42" s="60" t="s">
        <v>47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9"/>
      <c r="M42" s="9"/>
      <c r="N42" s="9"/>
      <c r="O42" s="9"/>
      <c r="P42" s="9"/>
      <c r="Q42" s="6"/>
    </row>
    <row r="43" spans="1:17" ht="16.5" customHeight="1">
      <c r="A43" s="65" t="s">
        <v>48</v>
      </c>
      <c r="B43" s="65" t="s">
        <v>37</v>
      </c>
      <c r="C43" s="65" t="s">
        <v>49</v>
      </c>
      <c r="D43" s="65" t="s">
        <v>50</v>
      </c>
      <c r="E43" s="86" t="s">
        <v>51</v>
      </c>
      <c r="F43" s="87"/>
      <c r="G43" s="87"/>
      <c r="H43" s="87"/>
      <c r="I43" s="87"/>
      <c r="J43" s="87"/>
      <c r="K43" s="88"/>
      <c r="L43" s="9"/>
      <c r="M43" s="9"/>
      <c r="N43" s="9"/>
      <c r="O43" s="9"/>
      <c r="P43" s="9"/>
      <c r="Q43" s="6"/>
    </row>
    <row r="44" spans="1:17" ht="33" customHeight="1">
      <c r="A44" s="52"/>
      <c r="B44" s="42"/>
      <c r="C44" s="44"/>
      <c r="D44" s="53"/>
      <c r="E44" s="89" t="s">
        <v>52</v>
      </c>
      <c r="F44" s="90"/>
      <c r="G44" s="90"/>
      <c r="H44" s="90"/>
      <c r="I44" s="90"/>
      <c r="J44" s="90"/>
      <c r="K44" s="91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17">
    <mergeCell ref="E44:K44"/>
    <mergeCell ref="E43:K43"/>
    <mergeCell ref="A5:C5"/>
    <mergeCell ref="G15:H15"/>
    <mergeCell ref="A37:K37"/>
    <mergeCell ref="A34:K34"/>
    <mergeCell ref="I5:K5"/>
    <mergeCell ref="I6:K6"/>
    <mergeCell ref="A14:K14"/>
    <mergeCell ref="A18:K18"/>
    <mergeCell ref="E39:K39"/>
    <mergeCell ref="E40:K40"/>
    <mergeCell ref="G36:K36"/>
    <mergeCell ref="G35:K35"/>
    <mergeCell ref="I7:K7"/>
    <mergeCell ref="G16:H16"/>
    <mergeCell ref="A38:K38"/>
  </mergeCells>
  <pageMargins left="0.7" right="0.7" top="0.75" bottom="0.75" header="0.3" footer="0.3"/>
  <pageSetup scale="69" fitToHeight="0" orientation="portrait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pageSetUpPr fitToPage="1"/>
  </sheetPr>
  <dimension ref="A1:Q59"/>
  <sheetViews>
    <sheetView topLeftCell="A20" zoomScale="115" zoomScaleNormal="115" workbookViewId="0">
      <selection activeCell="E43" sqref="E43:K43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67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68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7.7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5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2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/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/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/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0.79350495879898764</v>
      </c>
      <c r="B16" s="25">
        <f t="array" ref="B16">LOOKUP(2,1/(I20:I31&lt;&gt;""),I20:I31)</f>
        <v>0.68616843008349826</v>
      </c>
      <c r="C16" s="25">
        <f t="array" ref="C16">LOOKUP(2,1/(J20:J31&lt;&gt;""),J20:J31)</f>
        <v>1.1564288358507369</v>
      </c>
      <c r="D16" s="25">
        <f t="array" ref="D16">LOOKUP(2,1/(K20:K31&lt;&gt;""),K20:K31)</f>
        <v>0.96838407494145207</v>
      </c>
      <c r="E16" s="26">
        <v>1</v>
      </c>
      <c r="F16" s="26">
        <v>1</v>
      </c>
      <c r="G16" s="79">
        <f>A16</f>
        <v>0.79350495879898764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82100)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92400)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139300)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166400)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196600)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198600)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189800)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810527.63967050018</v>
      </c>
      <c r="C27" s="37">
        <v>1021452.519839671</v>
      </c>
      <c r="D27" s="37">
        <f t="shared" si="1"/>
        <v>1181237.1483949923</v>
      </c>
      <c r="E27" s="37">
        <v>196014.68767669989</v>
      </c>
      <c r="F27" s="37">
        <f>IF(E27="", "", 169500)</f>
        <v>169500</v>
      </c>
      <c r="G27" s="37">
        <f t="shared" si="2"/>
        <v>370709.50872449216</v>
      </c>
      <c r="H27" s="38">
        <f t="shared" si="3"/>
        <v>0.79350495879898764</v>
      </c>
      <c r="I27" s="38">
        <f t="shared" si="4"/>
        <v>0.68616843008349826</v>
      </c>
      <c r="J27" s="38">
        <f t="shared" si="5"/>
        <v>1.1564288358507369</v>
      </c>
      <c r="K27" s="39">
        <v>0.96838407494145207</v>
      </c>
      <c r="L27" s="9"/>
      <c r="M27" s="7" t="str">
        <f t="shared" si="6"/>
        <v>Aug</v>
      </c>
      <c r="N27" s="40">
        <f t="shared" si="7"/>
        <v>0.68616843008349826</v>
      </c>
      <c r="O27" s="41">
        <f>IF(OR(I27="",I27=0),NA(),AVERAGE(I$20:I27))</f>
        <v>0.68616843008349826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140500)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115600)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85300)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69100)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810527.63967050018</v>
      </c>
      <c r="C32" s="68">
        <f t="shared" si="8"/>
        <v>1021452.519839671</v>
      </c>
      <c r="D32" s="68">
        <f t="shared" si="8"/>
        <v>1181237.1483949923</v>
      </c>
      <c r="E32" s="67">
        <f t="shared" si="8"/>
        <v>196014.68767669989</v>
      </c>
      <c r="F32" s="67">
        <f t="shared" si="8"/>
        <v>169500</v>
      </c>
      <c r="G32" s="69">
        <f t="shared" si="8"/>
        <v>370709.50872449216</v>
      </c>
      <c r="H32" s="70">
        <f>IFERROR(AVERAGE(H20:H31),"")</f>
        <v>0.79350495879898764</v>
      </c>
      <c r="I32" s="70">
        <f>IFERROR(AVERAGE(I20:I31),"")</f>
        <v>0.68616843008349826</v>
      </c>
      <c r="J32" s="70">
        <f>IFERROR(AVERAGE(J20:J31),"")</f>
        <v>1.1564288358507369</v>
      </c>
      <c r="K32" s="70">
        <f>IFERROR(AVERAGE(K20:K31),"")</f>
        <v>0.96838407494145207</v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>
      <c r="A36" s="42"/>
      <c r="B36" s="43"/>
      <c r="C36" s="44"/>
      <c r="D36" s="44"/>
      <c r="E36" s="45"/>
      <c r="F36" s="45"/>
      <c r="G36" s="75" t="s">
        <v>43</v>
      </c>
      <c r="H36" s="73"/>
      <c r="I36" s="73"/>
      <c r="J36" s="73"/>
      <c r="K36" s="74"/>
      <c r="L36" s="9"/>
      <c r="M36" s="9"/>
      <c r="N36" s="9"/>
      <c r="O36" s="9"/>
      <c r="P36" s="9"/>
      <c r="Q36" s="6"/>
    </row>
    <row r="37" spans="1:17">
      <c r="A37" s="46"/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6"/>
    </row>
    <row r="38" spans="1:17">
      <c r="A38" s="72" t="s">
        <v>44</v>
      </c>
      <c r="B38" s="73"/>
      <c r="C38" s="73"/>
      <c r="D38" s="73"/>
      <c r="E38" s="73"/>
      <c r="F38" s="73"/>
      <c r="G38" s="73"/>
      <c r="H38" s="73"/>
      <c r="I38" s="73"/>
      <c r="J38" s="73"/>
      <c r="K38" s="74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78" t="s">
        <v>41</v>
      </c>
      <c r="F39" s="73"/>
      <c r="G39" s="73"/>
      <c r="H39" s="73"/>
      <c r="I39" s="73"/>
      <c r="J39" s="73"/>
      <c r="K39" s="74"/>
      <c r="L39" s="9"/>
      <c r="M39" s="9"/>
      <c r="N39" s="9"/>
      <c r="O39" s="9"/>
      <c r="P39" s="9"/>
      <c r="Q39" s="6"/>
    </row>
    <row r="40" spans="1:17" ht="16.5" customHeight="1">
      <c r="A40" s="42"/>
      <c r="B40" s="42"/>
      <c r="C40" s="51"/>
      <c r="D40" s="51"/>
      <c r="E40" s="89" t="s">
        <v>43</v>
      </c>
      <c r="F40" s="90"/>
      <c r="G40" s="90"/>
      <c r="H40" s="90"/>
      <c r="I40" s="90"/>
      <c r="J40" s="90"/>
      <c r="K40" s="91"/>
      <c r="L40" s="9"/>
      <c r="M40" s="9"/>
      <c r="N40" s="9"/>
      <c r="O40" s="9"/>
      <c r="P40" s="9"/>
      <c r="Q40" s="6"/>
    </row>
    <row r="41" spans="1:17" ht="16.5" customHeight="1">
      <c r="A41" s="46"/>
      <c r="B41" s="46"/>
      <c r="C41" s="47"/>
      <c r="D41" s="48"/>
      <c r="E41" s="49"/>
      <c r="F41" s="50"/>
      <c r="G41" s="50"/>
      <c r="H41" s="50"/>
      <c r="I41" s="50"/>
      <c r="J41" s="50"/>
      <c r="K41" s="50"/>
      <c r="L41" s="9"/>
      <c r="M41" s="9"/>
      <c r="N41" s="9"/>
      <c r="O41" s="9"/>
      <c r="P41" s="9"/>
      <c r="Q41" s="6"/>
    </row>
    <row r="42" spans="1:17" ht="33" customHeight="1">
      <c r="A42" s="60" t="s">
        <v>47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9"/>
      <c r="M42" s="9"/>
      <c r="N42" s="9"/>
      <c r="O42" s="9"/>
      <c r="P42" s="9"/>
      <c r="Q42" s="6"/>
    </row>
    <row r="43" spans="1:17" ht="16.5" customHeight="1">
      <c r="A43" s="65" t="s">
        <v>48</v>
      </c>
      <c r="B43" s="65" t="s">
        <v>37</v>
      </c>
      <c r="C43" s="65" t="s">
        <v>49</v>
      </c>
      <c r="D43" s="65" t="s">
        <v>50</v>
      </c>
      <c r="E43" s="86" t="s">
        <v>51</v>
      </c>
      <c r="F43" s="87"/>
      <c r="G43" s="87"/>
      <c r="H43" s="87"/>
      <c r="I43" s="87"/>
      <c r="J43" s="87"/>
      <c r="K43" s="88"/>
      <c r="L43" s="9"/>
      <c r="M43" s="9"/>
      <c r="N43" s="9"/>
      <c r="O43" s="9"/>
      <c r="P43" s="9"/>
      <c r="Q43" s="6"/>
    </row>
    <row r="44" spans="1:17" ht="33" customHeight="1">
      <c r="A44" s="52"/>
      <c r="B44" s="42"/>
      <c r="C44" s="44"/>
      <c r="D44" s="53"/>
      <c r="E44" s="89" t="s">
        <v>52</v>
      </c>
      <c r="F44" s="90"/>
      <c r="G44" s="90"/>
      <c r="H44" s="90"/>
      <c r="I44" s="90"/>
      <c r="J44" s="90"/>
      <c r="K44" s="91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16">
    <mergeCell ref="E44:K44"/>
    <mergeCell ref="E43:K43"/>
    <mergeCell ref="I7:K7"/>
    <mergeCell ref="G16:H16"/>
    <mergeCell ref="A5:C5"/>
    <mergeCell ref="E39:K39"/>
    <mergeCell ref="G15:H15"/>
    <mergeCell ref="A38:K38"/>
    <mergeCell ref="A34:K34"/>
    <mergeCell ref="G36:K36"/>
    <mergeCell ref="I5:K5"/>
    <mergeCell ref="I6:K6"/>
    <mergeCell ref="A14:K14"/>
    <mergeCell ref="A18:K18"/>
    <mergeCell ref="E40:K40"/>
    <mergeCell ref="G35:K35"/>
  </mergeCells>
  <pageMargins left="0.7" right="0.7" top="0.75" bottom="0.75" header="0.3" footer="0.3"/>
  <pageSetup scale="69" fitToHeight="0" orientation="portrait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Q59"/>
  <sheetViews>
    <sheetView tabSelected="1" topLeftCell="A18" zoomScale="115" zoomScaleNormal="115" workbookViewId="0">
      <selection activeCell="M36" sqref="M36"/>
    </sheetView>
  </sheetViews>
  <sheetFormatPr defaultRowHeight="15"/>
  <cols>
    <col min="1" max="1" width="11" customWidth="1"/>
    <col min="2" max="2" width="12" customWidth="1"/>
    <col min="4" max="4" width="9.5703125" customWidth="1"/>
    <col min="5" max="5" width="10.5703125" customWidth="1"/>
    <col min="6" max="6" width="29.7109375" bestFit="1" customWidth="1"/>
    <col min="9" max="10" width="10" customWidth="1"/>
  </cols>
  <sheetData>
    <row r="1" spans="1:17" ht="15.75" customHeight="1">
      <c r="A1" s="2"/>
      <c r="B1" s="2"/>
      <c r="C1" s="2"/>
      <c r="D1" s="3"/>
      <c r="E1" s="4"/>
      <c r="F1" s="3" t="s">
        <v>69</v>
      </c>
      <c r="G1" s="5"/>
      <c r="H1" s="5"/>
      <c r="I1" s="5"/>
      <c r="J1" s="5"/>
      <c r="K1" s="5"/>
      <c r="L1" s="4"/>
      <c r="M1" s="6"/>
      <c r="N1" s="6"/>
      <c r="O1" s="6"/>
      <c r="P1" s="6"/>
      <c r="Q1" s="6"/>
    </row>
    <row r="2" spans="1:17" ht="15.75" customHeight="1">
      <c r="A2" s="6"/>
      <c r="B2" s="2"/>
      <c r="C2" s="2"/>
      <c r="D2" s="3"/>
      <c r="E2" s="5"/>
      <c r="F2" s="3" t="s">
        <v>70</v>
      </c>
      <c r="G2" s="5"/>
      <c r="H2" s="5"/>
      <c r="I2" s="5"/>
      <c r="J2" s="5"/>
      <c r="K2" s="3"/>
      <c r="L2" s="4"/>
      <c r="M2" s="6"/>
      <c r="N2" s="6"/>
      <c r="O2" s="6"/>
      <c r="P2" s="6"/>
      <c r="Q2" s="6"/>
    </row>
    <row r="3" spans="1:17">
      <c r="A3" s="7"/>
      <c r="B3" s="7"/>
      <c r="C3" s="7"/>
      <c r="D3" s="8"/>
      <c r="E3" s="9"/>
      <c r="F3" s="3" t="s">
        <v>56</v>
      </c>
      <c r="G3" s="10"/>
      <c r="H3" s="10"/>
      <c r="I3" s="10"/>
      <c r="J3" s="10"/>
      <c r="K3" s="10"/>
      <c r="L3" s="9"/>
      <c r="M3" s="6"/>
      <c r="N3" s="6"/>
      <c r="O3" s="6"/>
      <c r="P3" s="6"/>
      <c r="Q3" s="6"/>
    </row>
    <row r="4" spans="1:17" ht="27.75" customHeight="1">
      <c r="A4" s="7"/>
      <c r="B4" s="7"/>
      <c r="C4" s="7"/>
      <c r="D4" s="11"/>
      <c r="E4" s="9"/>
      <c r="F4" s="11" t="str">
        <f ca="1">"Reporting Period: " &amp; TEXT(EDATE(TODAY(),-1),"MMMM YYYY")</f>
        <v>Reporting Period: August 2024</v>
      </c>
      <c r="G4" s="12"/>
      <c r="H4" s="12"/>
      <c r="I4" s="12"/>
      <c r="J4" s="12"/>
      <c r="K4" s="12"/>
      <c r="L4" s="9"/>
      <c r="M4" s="6"/>
      <c r="N4" s="6"/>
      <c r="O4" s="6"/>
      <c r="P4" s="6"/>
      <c r="Q4" s="6"/>
    </row>
    <row r="5" spans="1:17">
      <c r="A5" s="72" t="s">
        <v>6</v>
      </c>
      <c r="B5" s="73"/>
      <c r="C5" s="74"/>
      <c r="D5" s="13"/>
      <c r="E5" s="13"/>
      <c r="F5" s="9"/>
      <c r="G5" s="14"/>
      <c r="H5" s="14"/>
      <c r="I5" s="76"/>
      <c r="J5" s="71"/>
      <c r="K5" s="71"/>
      <c r="L5" s="9"/>
      <c r="M5" s="6"/>
      <c r="N5" s="6"/>
      <c r="O5" s="6"/>
      <c r="P5" s="6"/>
      <c r="Q5" s="6"/>
    </row>
    <row r="6" spans="1:17">
      <c r="A6" s="15"/>
      <c r="B6" s="16" t="s">
        <v>7</v>
      </c>
      <c r="C6" s="17">
        <v>6.7</v>
      </c>
      <c r="D6" s="18"/>
      <c r="E6" s="18"/>
      <c r="F6" s="9"/>
      <c r="G6" s="14"/>
      <c r="H6" s="14"/>
      <c r="I6" s="76"/>
      <c r="J6" s="71"/>
      <c r="K6" s="71"/>
      <c r="L6" s="9"/>
      <c r="M6" s="6"/>
      <c r="N6" s="6"/>
      <c r="O6" s="6"/>
      <c r="P6" s="6"/>
      <c r="Q6" s="6"/>
    </row>
    <row r="7" spans="1:17">
      <c r="A7" s="15"/>
      <c r="B7" s="16" t="s">
        <v>8</v>
      </c>
      <c r="C7" s="17">
        <v>5</v>
      </c>
      <c r="D7" s="18"/>
      <c r="E7" s="18"/>
      <c r="F7" s="9"/>
      <c r="G7" s="14"/>
      <c r="H7" s="14"/>
      <c r="I7" s="76"/>
      <c r="J7" s="71"/>
      <c r="K7" s="71"/>
      <c r="L7" s="9"/>
      <c r="M7" s="6"/>
      <c r="N7" s="6"/>
      <c r="O7" s="6"/>
      <c r="P7" s="6"/>
      <c r="Q7" s="6"/>
    </row>
    <row r="8" spans="1:17">
      <c r="A8" s="15"/>
      <c r="B8" s="16" t="s">
        <v>9</v>
      </c>
      <c r="C8" s="19">
        <v>6</v>
      </c>
      <c r="D8" s="20"/>
      <c r="E8" s="20"/>
      <c r="F8" s="9"/>
      <c r="G8" s="14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>
      <c r="A9" s="15"/>
      <c r="B9" s="16" t="s">
        <v>10</v>
      </c>
      <c r="C9" s="21"/>
      <c r="D9" s="20"/>
      <c r="E9" s="20"/>
      <c r="F9" s="9"/>
      <c r="G9" s="14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>
      <c r="A10" s="15"/>
      <c r="B10" s="16" t="s">
        <v>11</v>
      </c>
      <c r="C10" s="19"/>
      <c r="D10" s="20"/>
      <c r="E10" s="20"/>
      <c r="F10" s="9"/>
      <c r="G10" s="14"/>
      <c r="H10" s="9"/>
      <c r="I10" s="9"/>
      <c r="J10" s="9"/>
      <c r="K10" s="9"/>
      <c r="L10" s="9"/>
      <c r="M10" s="9"/>
      <c r="N10" s="9"/>
      <c r="O10" s="9"/>
      <c r="P10" s="9"/>
      <c r="Q10" s="6"/>
    </row>
    <row r="11" spans="1:17">
      <c r="A11" s="15"/>
      <c r="B11" s="16" t="s">
        <v>12</v>
      </c>
      <c r="C11" s="19"/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/>
    </row>
    <row r="12" spans="1:17">
      <c r="A12" s="22"/>
      <c r="B12" s="22"/>
      <c r="C12" s="22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6"/>
    </row>
    <row r="13" spans="1:17">
      <c r="A13" s="23"/>
      <c r="B13" s="23"/>
      <c r="C13" s="24"/>
      <c r="D13" s="24"/>
      <c r="E13" s="2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/>
    </row>
    <row r="14" spans="1:17">
      <c r="A14" s="72" t="s">
        <v>13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  <c r="L14" s="9"/>
      <c r="M14" s="9"/>
      <c r="N14" s="9"/>
      <c r="O14" s="9"/>
      <c r="P14" s="9"/>
      <c r="Q14" s="6"/>
    </row>
    <row r="15" spans="1:17" ht="56.25" customHeight="1">
      <c r="A15" s="63" t="s">
        <v>14</v>
      </c>
      <c r="B15" s="63" t="s">
        <v>15</v>
      </c>
      <c r="C15" s="63" t="s">
        <v>16</v>
      </c>
      <c r="D15" s="63" t="s">
        <v>17</v>
      </c>
      <c r="E15" s="63" t="s">
        <v>18</v>
      </c>
      <c r="F15" s="63" t="s">
        <v>19</v>
      </c>
      <c r="G15" s="80" t="s">
        <v>20</v>
      </c>
      <c r="H15" s="74"/>
      <c r="I15" s="63" t="s">
        <v>21</v>
      </c>
      <c r="J15" s="63" t="s">
        <v>22</v>
      </c>
      <c r="K15" s="63" t="s">
        <v>23</v>
      </c>
      <c r="L15" s="9"/>
      <c r="M15" s="9"/>
      <c r="N15" s="9"/>
      <c r="O15" s="9"/>
      <c r="P15" s="9"/>
      <c r="Q15" s="6"/>
    </row>
    <row r="16" spans="1:17">
      <c r="A16" s="25">
        <f t="array" ref="A16">LOOKUP(2,1/(H20:H31&lt;&gt;""),H20:H31)</f>
        <v>0.94366341671724463</v>
      </c>
      <c r="B16" s="25">
        <f t="array" ref="B16">LOOKUP(2,1/(I20:I31&lt;&gt;""),I20:I31)</f>
        <v>0.98361823869007103</v>
      </c>
      <c r="C16" s="25">
        <f t="array" ref="C16">LOOKUP(2,1/(J20:J31&lt;&gt;""),J20:J31)</f>
        <v>0.9593797467338181</v>
      </c>
      <c r="D16" s="25">
        <f t="array" ref="D16">LOOKUP(2,1/(K20:K31&lt;&gt;""),K20:K31)</f>
        <v>0.85576928820513087</v>
      </c>
      <c r="E16" s="26">
        <v>1</v>
      </c>
      <c r="F16" s="26">
        <v>1</v>
      </c>
      <c r="G16" s="79">
        <f>A16</f>
        <v>0.94366341671724463</v>
      </c>
      <c r="H16" s="74"/>
      <c r="I16" s="26">
        <v>0</v>
      </c>
      <c r="J16" s="27">
        <v>0</v>
      </c>
      <c r="K16" s="27">
        <v>0</v>
      </c>
      <c r="L16" s="9"/>
      <c r="M16" s="9"/>
      <c r="N16" s="9"/>
      <c r="O16" s="9"/>
      <c r="P16" s="9"/>
      <c r="Q16" s="6"/>
    </row>
    <row r="17" spans="1:17">
      <c r="A17" s="28"/>
      <c r="B17" s="29"/>
      <c r="C17" s="29"/>
      <c r="D17" s="29"/>
      <c r="E17" s="30"/>
      <c r="F17" s="31"/>
      <c r="G17" s="32"/>
      <c r="H17" s="33"/>
      <c r="I17" s="31"/>
      <c r="J17" s="34"/>
      <c r="K17" s="34"/>
      <c r="L17" s="9"/>
      <c r="M17" s="9"/>
      <c r="N17" s="9"/>
      <c r="O17" s="9"/>
      <c r="P17" s="9"/>
      <c r="Q17" s="6"/>
    </row>
    <row r="18" spans="1:17">
      <c r="A18" s="77" t="s">
        <v>24</v>
      </c>
      <c r="B18" s="73"/>
      <c r="C18" s="73"/>
      <c r="D18" s="73"/>
      <c r="E18" s="73"/>
      <c r="F18" s="73"/>
      <c r="G18" s="73"/>
      <c r="H18" s="73"/>
      <c r="I18" s="73"/>
      <c r="J18" s="73"/>
      <c r="K18" s="74"/>
      <c r="L18" s="9"/>
      <c r="M18" s="7"/>
      <c r="N18" s="35" t="str">
        <f>I19</f>
        <v>Performance Index (%)</v>
      </c>
      <c r="O18" s="7"/>
      <c r="P18" s="9"/>
      <c r="Q18" s="6"/>
    </row>
    <row r="19" spans="1:17" ht="33" customHeight="1">
      <c r="A19" s="64" t="s">
        <v>25</v>
      </c>
      <c r="B19" s="64" t="s">
        <v>26</v>
      </c>
      <c r="C19" s="64" t="s">
        <v>27</v>
      </c>
      <c r="D19" s="64" t="s">
        <v>28</v>
      </c>
      <c r="E19" s="64" t="s">
        <v>29</v>
      </c>
      <c r="F19" s="64" t="s">
        <v>30</v>
      </c>
      <c r="G19" s="64" t="s">
        <v>31</v>
      </c>
      <c r="H19" s="64" t="s">
        <v>14</v>
      </c>
      <c r="I19" s="64" t="s">
        <v>15</v>
      </c>
      <c r="J19" s="64" t="s">
        <v>16</v>
      </c>
      <c r="K19" s="64" t="s">
        <v>17</v>
      </c>
      <c r="L19" s="9"/>
      <c r="M19" s="7"/>
      <c r="N19" s="7" t="s">
        <v>32</v>
      </c>
      <c r="O19" s="7" t="s">
        <v>33</v>
      </c>
      <c r="P19" s="7" t="s">
        <v>34</v>
      </c>
      <c r="Q19" s="6"/>
    </row>
    <row r="20" spans="1:17">
      <c r="A20" s="36">
        <f t="shared" ref="A20:A31" si="0">DATE(YEAR($N$1),ROW()-ROW(A$19),1)</f>
        <v>1</v>
      </c>
      <c r="B20" s="37"/>
      <c r="C20" s="37"/>
      <c r="D20" s="37" t="str">
        <f t="shared" ref="D20:D31" si="1">IF(B20="","",J20*C20)</f>
        <v/>
      </c>
      <c r="E20" s="37"/>
      <c r="F20" s="37" t="str">
        <f>IF(E20="", "", 83400)</f>
        <v/>
      </c>
      <c r="G20" s="37" t="str">
        <f t="shared" ref="G20:G31" si="2">IF(B20="","",D20-B20)</f>
        <v/>
      </c>
      <c r="H20" s="38" t="str">
        <f t="shared" ref="H20:H31" si="3">IF(B20="", "", B20/C20)</f>
        <v/>
      </c>
      <c r="I20" s="38" t="str">
        <f t="shared" ref="I20:I31" si="4">IF(B20="", "", B20/D20)</f>
        <v/>
      </c>
      <c r="J20" s="38" t="str">
        <f t="shared" ref="J20:J31" si="5">IF(B20="", "", E20/F20)</f>
        <v/>
      </c>
      <c r="K20" s="39"/>
      <c r="L20" s="9"/>
      <c r="M20" s="7" t="str">
        <f t="shared" ref="M20:M31" si="6">TEXT(A20,"MMM")</f>
        <v>Jan</v>
      </c>
      <c r="N20" s="40" t="e">
        <f t="shared" ref="N20:N31" si="7">IF(I20="",NA(),I20)</f>
        <v>#N/A</v>
      </c>
      <c r="O20" s="41" t="e">
        <f>IF(OR(I20="",I20=0),NA(),AVERAGE(I$20:I20))</f>
        <v>#N/A</v>
      </c>
      <c r="P20" s="7">
        <v>1</v>
      </c>
      <c r="Q20" s="6"/>
    </row>
    <row r="21" spans="1:17">
      <c r="A21" s="36">
        <f t="shared" si="0"/>
        <v>32</v>
      </c>
      <c r="B21" s="37"/>
      <c r="C21" s="37"/>
      <c r="D21" s="37" t="str">
        <f t="shared" si="1"/>
        <v/>
      </c>
      <c r="E21" s="37"/>
      <c r="F21" s="37" t="str">
        <f>IF(E21="", "", 90400)</f>
        <v/>
      </c>
      <c r="G21" s="37" t="str">
        <f t="shared" si="2"/>
        <v/>
      </c>
      <c r="H21" s="38" t="str">
        <f t="shared" si="3"/>
        <v/>
      </c>
      <c r="I21" s="38" t="str">
        <f t="shared" si="4"/>
        <v/>
      </c>
      <c r="J21" s="38" t="str">
        <f t="shared" si="5"/>
        <v/>
      </c>
      <c r="K21" s="39"/>
      <c r="L21" s="9"/>
      <c r="M21" s="7" t="str">
        <f t="shared" si="6"/>
        <v>Feb</v>
      </c>
      <c r="N21" s="40" t="e">
        <f t="shared" si="7"/>
        <v>#N/A</v>
      </c>
      <c r="O21" s="41" t="e">
        <f>IF(OR(I21="",I21=0),NA(),AVERAGE(I$20:I21))</f>
        <v>#N/A</v>
      </c>
      <c r="P21" s="7">
        <v>1</v>
      </c>
      <c r="Q21" s="6"/>
    </row>
    <row r="22" spans="1:17">
      <c r="A22" s="36">
        <f t="shared" si="0"/>
        <v>61</v>
      </c>
      <c r="B22" s="37"/>
      <c r="C22" s="37"/>
      <c r="D22" s="37" t="str">
        <f t="shared" si="1"/>
        <v/>
      </c>
      <c r="E22" s="37"/>
      <c r="F22" s="37" t="str">
        <f>IF(E22="", "", 145700)</f>
        <v/>
      </c>
      <c r="G22" s="37" t="str">
        <f t="shared" si="2"/>
        <v/>
      </c>
      <c r="H22" s="38" t="str">
        <f t="shared" si="3"/>
        <v/>
      </c>
      <c r="I22" s="38" t="str">
        <f t="shared" si="4"/>
        <v/>
      </c>
      <c r="J22" s="38" t="str">
        <f t="shared" si="5"/>
        <v/>
      </c>
      <c r="K22" s="39"/>
      <c r="L22" s="9"/>
      <c r="M22" s="7" t="str">
        <f t="shared" si="6"/>
        <v>Mar</v>
      </c>
      <c r="N22" s="40" t="e">
        <f t="shared" si="7"/>
        <v>#N/A</v>
      </c>
      <c r="O22" s="41" t="e">
        <f>IF(OR(I22="",I22=0),NA(),AVERAGE(I$20:I22))</f>
        <v>#N/A</v>
      </c>
      <c r="P22" s="7">
        <v>1</v>
      </c>
      <c r="Q22" s="6"/>
    </row>
    <row r="23" spans="1:17">
      <c r="A23" s="36">
        <f t="shared" si="0"/>
        <v>92</v>
      </c>
      <c r="B23" s="37"/>
      <c r="C23" s="37"/>
      <c r="D23" s="37" t="str">
        <f t="shared" si="1"/>
        <v/>
      </c>
      <c r="E23" s="37"/>
      <c r="F23" s="37" t="str">
        <f>IF(E23="", "", 167400)</f>
        <v/>
      </c>
      <c r="G23" s="37" t="str">
        <f t="shared" si="2"/>
        <v/>
      </c>
      <c r="H23" s="38" t="str">
        <f t="shared" si="3"/>
        <v/>
      </c>
      <c r="I23" s="38" t="str">
        <f t="shared" si="4"/>
        <v/>
      </c>
      <c r="J23" s="38" t="str">
        <f t="shared" si="5"/>
        <v/>
      </c>
      <c r="K23" s="39"/>
      <c r="L23" s="9"/>
      <c r="M23" s="7" t="str">
        <f t="shared" si="6"/>
        <v>Apr</v>
      </c>
      <c r="N23" s="40" t="e">
        <f t="shared" si="7"/>
        <v>#N/A</v>
      </c>
      <c r="O23" s="41" t="e">
        <f>IF(OR(I23="",I23=0),NA(),AVERAGE(I$20:I23))</f>
        <v>#N/A</v>
      </c>
      <c r="P23" s="7">
        <v>2</v>
      </c>
      <c r="Q23" s="6"/>
    </row>
    <row r="24" spans="1:17">
      <c r="A24" s="36">
        <f t="shared" si="0"/>
        <v>122</v>
      </c>
      <c r="B24" s="37"/>
      <c r="C24" s="37"/>
      <c r="D24" s="37" t="str">
        <f t="shared" si="1"/>
        <v/>
      </c>
      <c r="E24" s="37"/>
      <c r="F24" s="37" t="str">
        <f>IF(E24="", "", 191400)</f>
        <v/>
      </c>
      <c r="G24" s="37" t="str">
        <f t="shared" si="2"/>
        <v/>
      </c>
      <c r="H24" s="38" t="str">
        <f t="shared" si="3"/>
        <v/>
      </c>
      <c r="I24" s="38" t="str">
        <f t="shared" si="4"/>
        <v/>
      </c>
      <c r="J24" s="38" t="str">
        <f t="shared" si="5"/>
        <v/>
      </c>
      <c r="K24" s="39"/>
      <c r="L24" s="9"/>
      <c r="M24" s="7" t="str">
        <f t="shared" si="6"/>
        <v>May</v>
      </c>
      <c r="N24" s="40" t="e">
        <f t="shared" si="7"/>
        <v>#N/A</v>
      </c>
      <c r="O24" s="41" t="e">
        <f>IF(OR(I24="",I24=0),NA(),AVERAGE(I$20:I24))</f>
        <v>#N/A</v>
      </c>
      <c r="P24" s="7">
        <v>2</v>
      </c>
      <c r="Q24" s="6"/>
    </row>
    <row r="25" spans="1:17">
      <c r="A25" s="36">
        <f t="shared" si="0"/>
        <v>153</v>
      </c>
      <c r="B25" s="37"/>
      <c r="C25" s="37"/>
      <c r="D25" s="37" t="str">
        <f t="shared" si="1"/>
        <v/>
      </c>
      <c r="E25" s="37"/>
      <c r="F25" s="37" t="str">
        <f>IF(E25="", "", 192300)</f>
        <v/>
      </c>
      <c r="G25" s="37" t="str">
        <f t="shared" si="2"/>
        <v/>
      </c>
      <c r="H25" s="38" t="str">
        <f t="shared" si="3"/>
        <v/>
      </c>
      <c r="I25" s="38" t="str">
        <f t="shared" si="4"/>
        <v/>
      </c>
      <c r="J25" s="38" t="str">
        <f t="shared" si="5"/>
        <v/>
      </c>
      <c r="K25" s="39"/>
      <c r="L25" s="9"/>
      <c r="M25" s="7" t="str">
        <f t="shared" si="6"/>
        <v>Jun</v>
      </c>
      <c r="N25" s="40" t="e">
        <f t="shared" si="7"/>
        <v>#N/A</v>
      </c>
      <c r="O25" s="41" t="e">
        <f>IF(OR(I25="",I25=0),NA(),AVERAGE(I$20:I25))</f>
        <v>#N/A</v>
      </c>
      <c r="P25" s="7">
        <v>2</v>
      </c>
      <c r="Q25" s="6"/>
    </row>
    <row r="26" spans="1:17">
      <c r="A26" s="36">
        <f t="shared" si="0"/>
        <v>183</v>
      </c>
      <c r="B26" s="37"/>
      <c r="C26" s="37"/>
      <c r="D26" s="37" t="str">
        <f t="shared" si="1"/>
        <v/>
      </c>
      <c r="E26" s="37"/>
      <c r="F26" s="37" t="str">
        <f>IF(E26="", "", 192700)</f>
        <v/>
      </c>
      <c r="G26" s="37" t="str">
        <f t="shared" si="2"/>
        <v/>
      </c>
      <c r="H26" s="38" t="str">
        <f t="shared" si="3"/>
        <v/>
      </c>
      <c r="I26" s="38" t="str">
        <f t="shared" si="4"/>
        <v/>
      </c>
      <c r="J26" s="38" t="str">
        <f t="shared" si="5"/>
        <v/>
      </c>
      <c r="K26" s="39"/>
      <c r="L26" s="9"/>
      <c r="M26" s="7" t="str">
        <f t="shared" si="6"/>
        <v>Jul</v>
      </c>
      <c r="N26" s="40" t="e">
        <f t="shared" si="7"/>
        <v>#N/A</v>
      </c>
      <c r="O26" s="41" t="e">
        <f>IF(OR(I26="",I26=0),NA(),AVERAGE(I$20:I26))</f>
        <v>#N/A</v>
      </c>
      <c r="P26" s="7">
        <v>3</v>
      </c>
      <c r="Q26" s="6"/>
    </row>
    <row r="27" spans="1:17">
      <c r="A27" s="36">
        <f t="shared" si="0"/>
        <v>214</v>
      </c>
      <c r="B27" s="37">
        <v>869593.92662600032</v>
      </c>
      <c r="C27" s="37">
        <v>921508.57098083501</v>
      </c>
      <c r="D27" s="37">
        <f t="shared" si="1"/>
        <v>884076.65944063617</v>
      </c>
      <c r="E27" s="37">
        <v>165588.944286257</v>
      </c>
      <c r="F27" s="37">
        <f>IF(E27="", "", 172600)</f>
        <v>172600</v>
      </c>
      <c r="G27" s="37">
        <f t="shared" si="2"/>
        <v>14482.732814635849</v>
      </c>
      <c r="H27" s="38">
        <f t="shared" si="3"/>
        <v>0.94366341671724463</v>
      </c>
      <c r="I27" s="38">
        <f t="shared" si="4"/>
        <v>0.98361823869007103</v>
      </c>
      <c r="J27" s="38">
        <f t="shared" si="5"/>
        <v>0.9593797467338181</v>
      </c>
      <c r="K27" s="39">
        <v>0.85576928820513087</v>
      </c>
      <c r="L27" s="9"/>
      <c r="M27" s="7" t="str">
        <f t="shared" si="6"/>
        <v>Aug</v>
      </c>
      <c r="N27" s="40">
        <f t="shared" si="7"/>
        <v>0.98361823869007103</v>
      </c>
      <c r="O27" s="41">
        <f>IF(OR(I27="",I27=0),NA(),AVERAGE(I$20:I27))</f>
        <v>0.98361823869007103</v>
      </c>
      <c r="P27" s="7">
        <v>3</v>
      </c>
      <c r="Q27" s="6"/>
    </row>
    <row r="28" spans="1:17">
      <c r="A28" s="36">
        <f t="shared" si="0"/>
        <v>245</v>
      </c>
      <c r="B28" s="37"/>
      <c r="C28" s="37"/>
      <c r="D28" s="37" t="str">
        <f t="shared" si="1"/>
        <v/>
      </c>
      <c r="E28" s="37"/>
      <c r="F28" s="37" t="str">
        <f>IF(E28="", "", 137800)</f>
        <v/>
      </c>
      <c r="G28" s="37" t="str">
        <f t="shared" si="2"/>
        <v/>
      </c>
      <c r="H28" s="38" t="str">
        <f t="shared" si="3"/>
        <v/>
      </c>
      <c r="I28" s="38" t="str">
        <f t="shared" si="4"/>
        <v/>
      </c>
      <c r="J28" s="38" t="str">
        <f t="shared" si="5"/>
        <v/>
      </c>
      <c r="K28" s="39"/>
      <c r="L28" s="9"/>
      <c r="M28" s="7" t="str">
        <f t="shared" si="6"/>
        <v>Sep</v>
      </c>
      <c r="N28" s="40" t="e">
        <f t="shared" si="7"/>
        <v>#N/A</v>
      </c>
      <c r="O28" s="41" t="e">
        <f>IF(OR(I28="",I28=0),NA(),AVERAGE(I$20:I28))</f>
        <v>#N/A</v>
      </c>
      <c r="P28" s="7">
        <v>3</v>
      </c>
      <c r="Q28" s="6"/>
    </row>
    <row r="29" spans="1:17">
      <c r="A29" s="36">
        <f t="shared" si="0"/>
        <v>275</v>
      </c>
      <c r="B29" s="37"/>
      <c r="C29" s="37"/>
      <c r="D29" s="37" t="str">
        <f t="shared" si="1"/>
        <v/>
      </c>
      <c r="E29" s="37"/>
      <c r="F29" s="37" t="str">
        <f>IF(E29="", "", 111200)</f>
        <v/>
      </c>
      <c r="G29" s="37" t="str">
        <f t="shared" si="2"/>
        <v/>
      </c>
      <c r="H29" s="38" t="str">
        <f t="shared" si="3"/>
        <v/>
      </c>
      <c r="I29" s="38" t="str">
        <f t="shared" si="4"/>
        <v/>
      </c>
      <c r="J29" s="38" t="str">
        <f t="shared" si="5"/>
        <v/>
      </c>
      <c r="K29" s="39"/>
      <c r="L29" s="9"/>
      <c r="M29" s="7" t="str">
        <f t="shared" si="6"/>
        <v>Oct</v>
      </c>
      <c r="N29" s="40" t="e">
        <f t="shared" si="7"/>
        <v>#N/A</v>
      </c>
      <c r="O29" s="41" t="e">
        <f>IF(OR(I29="",I29=0),NA(),AVERAGE(I$20:I29))</f>
        <v>#N/A</v>
      </c>
      <c r="P29" s="7">
        <v>4</v>
      </c>
      <c r="Q29" s="6"/>
    </row>
    <row r="30" spans="1:17">
      <c r="A30" s="36">
        <f t="shared" si="0"/>
        <v>306</v>
      </c>
      <c r="B30" s="37"/>
      <c r="C30" s="37"/>
      <c r="D30" s="37" t="str">
        <f t="shared" si="1"/>
        <v/>
      </c>
      <c r="E30" s="37"/>
      <c r="F30" s="37" t="str">
        <f>IF(E30="", "", 85300)</f>
        <v/>
      </c>
      <c r="G30" s="37" t="str">
        <f t="shared" si="2"/>
        <v/>
      </c>
      <c r="H30" s="38" t="str">
        <f t="shared" si="3"/>
        <v/>
      </c>
      <c r="I30" s="38" t="str">
        <f t="shared" si="4"/>
        <v/>
      </c>
      <c r="J30" s="38" t="str">
        <f t="shared" si="5"/>
        <v/>
      </c>
      <c r="K30" s="39"/>
      <c r="L30" s="9"/>
      <c r="M30" s="7" t="str">
        <f t="shared" si="6"/>
        <v>Nov</v>
      </c>
      <c r="N30" s="40" t="e">
        <f t="shared" si="7"/>
        <v>#N/A</v>
      </c>
      <c r="O30" s="41" t="e">
        <f>IF(OR(I30="",I30=0),NA(),AVERAGE(I$20:I30))</f>
        <v>#N/A</v>
      </c>
      <c r="P30" s="7">
        <v>4</v>
      </c>
      <c r="Q30" s="6"/>
    </row>
    <row r="31" spans="1:17">
      <c r="A31" s="36">
        <f t="shared" si="0"/>
        <v>336</v>
      </c>
      <c r="B31" s="37"/>
      <c r="C31" s="37"/>
      <c r="D31" s="37" t="str">
        <f t="shared" si="1"/>
        <v/>
      </c>
      <c r="E31" s="37"/>
      <c r="F31" s="37" t="str">
        <f>IF(E31="", "", 74500)</f>
        <v/>
      </c>
      <c r="G31" s="37" t="str">
        <f t="shared" si="2"/>
        <v/>
      </c>
      <c r="H31" s="38" t="str">
        <f t="shared" si="3"/>
        <v/>
      </c>
      <c r="I31" s="38" t="str">
        <f t="shared" si="4"/>
        <v/>
      </c>
      <c r="J31" s="38" t="str">
        <f t="shared" si="5"/>
        <v/>
      </c>
      <c r="K31" s="39"/>
      <c r="L31" s="9"/>
      <c r="M31" s="7" t="str">
        <f t="shared" si="6"/>
        <v>Dec</v>
      </c>
      <c r="N31" s="40" t="e">
        <f t="shared" si="7"/>
        <v>#N/A</v>
      </c>
      <c r="O31" s="41" t="e">
        <f>IF(OR(I31="",I31=0),NA(),AVERAGE(I$20:I31))</f>
        <v>#N/A</v>
      </c>
      <c r="P31" s="7">
        <v>4</v>
      </c>
      <c r="Q31" s="6"/>
    </row>
    <row r="32" spans="1:17">
      <c r="A32" s="66" t="s">
        <v>33</v>
      </c>
      <c r="B32" s="67">
        <f t="shared" ref="B32:G32" si="8">SUM(B20:B31)</f>
        <v>869593.92662600032</v>
      </c>
      <c r="C32" s="68">
        <f t="shared" si="8"/>
        <v>921508.57098083501</v>
      </c>
      <c r="D32" s="68">
        <f t="shared" si="8"/>
        <v>884076.65944063617</v>
      </c>
      <c r="E32" s="67">
        <f t="shared" si="8"/>
        <v>165588.944286257</v>
      </c>
      <c r="F32" s="67">
        <f t="shared" si="8"/>
        <v>172600</v>
      </c>
      <c r="G32" s="69">
        <f t="shared" si="8"/>
        <v>14482.732814635849</v>
      </c>
      <c r="H32" s="70">
        <f>IFERROR(AVERAGE(H20:H31),"")</f>
        <v>0.94366341671724463</v>
      </c>
      <c r="I32" s="70">
        <f>IFERROR(AVERAGE(I20:I31),"")</f>
        <v>0.98361823869007103</v>
      </c>
      <c r="J32" s="70">
        <f>IFERROR(AVERAGE(J20:J31),"")</f>
        <v>0.9593797467338181</v>
      </c>
      <c r="K32" s="70">
        <f>IFERROR(AVERAGE(K20:K31),"")</f>
        <v>0.85576928820513087</v>
      </c>
      <c r="L32" s="9"/>
      <c r="M32" s="9"/>
      <c r="N32" s="9"/>
      <c r="O32" s="9"/>
      <c r="P32" s="9"/>
      <c r="Q32" s="6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9"/>
      <c r="M33" s="9"/>
      <c r="N33" s="9"/>
      <c r="O33" s="9"/>
      <c r="P33" s="9"/>
      <c r="Q33" s="6"/>
    </row>
    <row r="34" spans="1:17">
      <c r="A34" s="72" t="s">
        <v>35</v>
      </c>
      <c r="B34" s="73"/>
      <c r="C34" s="73"/>
      <c r="D34" s="73"/>
      <c r="E34" s="73"/>
      <c r="F34" s="73"/>
      <c r="G34" s="73"/>
      <c r="H34" s="73"/>
      <c r="I34" s="73"/>
      <c r="J34" s="73"/>
      <c r="K34" s="74"/>
      <c r="L34" s="9"/>
      <c r="M34" s="9"/>
      <c r="N34" s="9"/>
      <c r="O34" s="9"/>
      <c r="P34" s="9"/>
      <c r="Q34" s="6"/>
    </row>
    <row r="35" spans="1:17" ht="16.5" customHeight="1">
      <c r="A35" s="64" t="s">
        <v>36</v>
      </c>
      <c r="B35" s="64" t="s">
        <v>37</v>
      </c>
      <c r="C35" s="64" t="s">
        <v>38</v>
      </c>
      <c r="D35" s="64" t="s">
        <v>39</v>
      </c>
      <c r="E35" s="64" t="s">
        <v>40</v>
      </c>
      <c r="F35" s="64" t="s">
        <v>41</v>
      </c>
      <c r="G35" s="78" t="s">
        <v>42</v>
      </c>
      <c r="H35" s="73"/>
      <c r="I35" s="73"/>
      <c r="J35" s="73"/>
      <c r="K35" s="74"/>
      <c r="L35" s="9"/>
      <c r="M35" s="9"/>
      <c r="N35" s="9"/>
      <c r="O35" s="9"/>
      <c r="P35" s="9"/>
      <c r="Q35" s="6"/>
    </row>
    <row r="36" spans="1:17">
      <c r="A36" s="42"/>
      <c r="B36" s="43"/>
      <c r="C36" s="44"/>
      <c r="D36" s="44"/>
      <c r="E36" s="45"/>
      <c r="F36" s="45"/>
      <c r="G36" s="75" t="s">
        <v>43</v>
      </c>
      <c r="H36" s="73"/>
      <c r="I36" s="73"/>
      <c r="J36" s="73"/>
      <c r="K36" s="74"/>
      <c r="L36" s="9"/>
      <c r="M36" s="9"/>
      <c r="N36" s="9"/>
      <c r="O36" s="9"/>
      <c r="P36" s="9"/>
      <c r="Q36" s="6"/>
    </row>
    <row r="37" spans="1:17">
      <c r="A37" s="46"/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6"/>
    </row>
    <row r="38" spans="1:17">
      <c r="A38" s="72" t="s">
        <v>44</v>
      </c>
      <c r="B38" s="73"/>
      <c r="C38" s="73"/>
      <c r="D38" s="73"/>
      <c r="E38" s="73"/>
      <c r="F38" s="73"/>
      <c r="G38" s="73"/>
      <c r="H38" s="73"/>
      <c r="I38" s="73"/>
      <c r="J38" s="73"/>
      <c r="K38" s="74"/>
      <c r="L38" s="9"/>
      <c r="M38" s="9"/>
      <c r="N38" s="9"/>
      <c r="O38" s="9"/>
      <c r="P38" s="9"/>
      <c r="Q38" s="6"/>
    </row>
    <row r="39" spans="1:17" ht="16.5" customHeight="1">
      <c r="A39" s="64" t="s">
        <v>36</v>
      </c>
      <c r="B39" s="64" t="s">
        <v>37</v>
      </c>
      <c r="C39" s="64" t="s">
        <v>45</v>
      </c>
      <c r="D39" s="64" t="s">
        <v>46</v>
      </c>
      <c r="E39" s="78" t="s">
        <v>41</v>
      </c>
      <c r="F39" s="73"/>
      <c r="G39" s="73"/>
      <c r="H39" s="73"/>
      <c r="I39" s="73"/>
      <c r="J39" s="73"/>
      <c r="K39" s="74"/>
      <c r="L39" s="9"/>
      <c r="M39" s="9"/>
      <c r="N39" s="9"/>
      <c r="O39" s="9"/>
      <c r="P39" s="9"/>
      <c r="Q39" s="6"/>
    </row>
    <row r="40" spans="1:17">
      <c r="A40" s="42"/>
      <c r="B40" s="42"/>
      <c r="C40" s="51"/>
      <c r="D40" s="51"/>
      <c r="E40" s="75" t="s">
        <v>43</v>
      </c>
      <c r="F40" s="73"/>
      <c r="G40" s="73"/>
      <c r="H40" s="73"/>
      <c r="I40" s="73"/>
      <c r="J40" s="73"/>
      <c r="K40" s="74"/>
      <c r="L40" s="9"/>
      <c r="M40" s="9"/>
      <c r="N40" s="9"/>
      <c r="O40" s="9"/>
      <c r="P40" s="9"/>
      <c r="Q40" s="6"/>
    </row>
    <row r="41" spans="1:17">
      <c r="A41" s="46"/>
      <c r="B41" s="46"/>
      <c r="C41" s="47"/>
      <c r="D41" s="48"/>
      <c r="E41" s="49"/>
      <c r="L41" s="9"/>
      <c r="M41" s="9"/>
      <c r="N41" s="9"/>
      <c r="O41" s="9"/>
      <c r="P41" s="9"/>
      <c r="Q41" s="6"/>
    </row>
    <row r="42" spans="1:17" ht="16.5" customHeight="1">
      <c r="A42" s="94" t="s">
        <v>47</v>
      </c>
      <c r="B42" s="95"/>
      <c r="C42" s="95"/>
      <c r="D42" s="95"/>
      <c r="E42" s="95"/>
      <c r="F42" s="95"/>
      <c r="G42" s="95"/>
      <c r="H42" s="95"/>
      <c r="I42" s="95"/>
      <c r="J42" s="95"/>
      <c r="K42" s="96"/>
      <c r="L42" s="9"/>
      <c r="M42" s="9"/>
      <c r="N42" s="9"/>
      <c r="O42" s="9"/>
      <c r="P42" s="9"/>
      <c r="Q42" s="6"/>
    </row>
    <row r="43" spans="1:17" ht="33" customHeight="1">
      <c r="A43" s="65" t="s">
        <v>48</v>
      </c>
      <c r="B43" s="65" t="s">
        <v>37</v>
      </c>
      <c r="C43" s="65" t="s">
        <v>49</v>
      </c>
      <c r="D43" s="65" t="s">
        <v>50</v>
      </c>
      <c r="E43" s="86" t="s">
        <v>51</v>
      </c>
      <c r="F43" s="87"/>
      <c r="G43" s="87"/>
      <c r="H43" s="87"/>
      <c r="I43" s="87"/>
      <c r="J43" s="87"/>
      <c r="K43" s="88"/>
      <c r="L43" s="9"/>
      <c r="M43" s="9"/>
      <c r="N43" s="9"/>
      <c r="O43" s="9"/>
      <c r="P43" s="9"/>
      <c r="Q43" s="6"/>
    </row>
    <row r="44" spans="1:17" ht="33" customHeight="1">
      <c r="A44" s="52"/>
      <c r="B44" s="42"/>
      <c r="C44" s="44"/>
      <c r="D44" s="53"/>
      <c r="E44" s="89" t="s">
        <v>52</v>
      </c>
      <c r="F44" s="90"/>
      <c r="G44" s="90"/>
      <c r="H44" s="90"/>
      <c r="I44" s="90"/>
      <c r="J44" s="90"/>
      <c r="K44" s="91"/>
      <c r="L44" s="9"/>
      <c r="M44" s="9"/>
      <c r="N44" s="9"/>
      <c r="O44" s="9"/>
      <c r="P44" s="9"/>
      <c r="Q44" s="6"/>
    </row>
    <row r="45" spans="1:17">
      <c r="A45" s="54" t="s">
        <v>53</v>
      </c>
      <c r="B45" s="55"/>
      <c r="C45" s="55"/>
      <c r="D45" s="55"/>
      <c r="E45" s="7"/>
      <c r="F45" s="7"/>
      <c r="G45" s="7"/>
      <c r="H45" s="7"/>
      <c r="I45" s="7"/>
      <c r="J45" s="7"/>
      <c r="K45" s="7"/>
      <c r="L45" s="9"/>
      <c r="M45" s="9"/>
      <c r="N45" s="9"/>
      <c r="O45" s="9"/>
      <c r="P45" s="9"/>
      <c r="Q45" s="6"/>
    </row>
    <row r="46" spans="1:17">
      <c r="A46" s="55"/>
      <c r="B46" s="55"/>
      <c r="C46" s="55"/>
      <c r="D46" s="55"/>
      <c r="E46" s="7"/>
      <c r="F46" s="7"/>
      <c r="G46" s="7"/>
      <c r="H46" s="7"/>
      <c r="I46" s="7"/>
      <c r="J46" s="7"/>
      <c r="K46" s="7"/>
      <c r="L46" s="9"/>
      <c r="M46" s="9"/>
      <c r="N46" s="9"/>
      <c r="O46" s="9"/>
      <c r="P46" s="9"/>
      <c r="Q46" s="6"/>
    </row>
    <row r="47" spans="1:17">
      <c r="A47" s="55"/>
      <c r="B47" s="55"/>
      <c r="C47" s="55"/>
      <c r="D47" s="55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6"/>
    </row>
    <row r="48" spans="1:17">
      <c r="A48" s="55"/>
      <c r="B48" s="55"/>
      <c r="C48" s="55"/>
      <c r="D48" s="55"/>
      <c r="E48" s="7"/>
      <c r="F48" s="7"/>
      <c r="G48" s="7"/>
      <c r="H48" s="7"/>
      <c r="I48" s="7"/>
      <c r="J48" s="7"/>
      <c r="K48" s="7"/>
      <c r="L48" s="9"/>
      <c r="M48" s="9"/>
      <c r="N48" s="9"/>
      <c r="O48" s="9"/>
      <c r="P48" s="9"/>
      <c r="Q48" s="6"/>
    </row>
    <row r="49" spans="1:17">
      <c r="A49" s="55"/>
      <c r="B49" s="55"/>
      <c r="C49" s="55"/>
      <c r="D49" s="55"/>
      <c r="E49" s="7"/>
      <c r="F49" s="7"/>
      <c r="G49" s="7"/>
      <c r="H49" s="7"/>
      <c r="I49" s="7"/>
      <c r="J49" s="7"/>
      <c r="K49" s="7"/>
      <c r="L49" s="9"/>
      <c r="M49" s="9"/>
      <c r="N49" s="9"/>
      <c r="O49" s="9"/>
      <c r="P49" s="9"/>
      <c r="Q49" s="6"/>
    </row>
    <row r="50" spans="1:17">
      <c r="A50" s="55"/>
      <c r="B50" s="55"/>
      <c r="C50" s="55"/>
      <c r="D50" s="55"/>
      <c r="E50" s="7"/>
      <c r="F50" s="7"/>
      <c r="G50" s="7"/>
      <c r="H50" s="7"/>
      <c r="I50" s="7"/>
      <c r="J50" s="7"/>
      <c r="K50" s="7"/>
      <c r="L50" s="9"/>
      <c r="M50" s="9"/>
      <c r="N50" s="9"/>
      <c r="O50" s="9"/>
      <c r="P50" s="9"/>
      <c r="Q50" s="6"/>
    </row>
    <row r="51" spans="1:17">
      <c r="A51" s="55"/>
      <c r="B51" s="55"/>
      <c r="C51" s="55"/>
      <c r="D51" s="55"/>
      <c r="E51" s="7"/>
      <c r="F51" s="7"/>
      <c r="G51" s="7"/>
      <c r="H51" s="7"/>
      <c r="I51" s="7"/>
      <c r="J51" s="7"/>
      <c r="K51" s="7"/>
      <c r="L51" s="9"/>
      <c r="M51" s="9"/>
      <c r="N51" s="9"/>
      <c r="O51" s="9"/>
      <c r="P51" s="9"/>
      <c r="Q51" s="6"/>
    </row>
    <row r="52" spans="1:17">
      <c r="A52" s="55"/>
      <c r="B52" s="55"/>
      <c r="C52" s="55"/>
      <c r="D52" s="55"/>
      <c r="E52" s="7"/>
      <c r="F52" s="7"/>
      <c r="G52" s="7"/>
      <c r="H52" s="7"/>
      <c r="I52" s="7"/>
      <c r="J52" s="7"/>
      <c r="K52" s="7"/>
      <c r="L52" s="9"/>
      <c r="M52" s="9"/>
      <c r="N52" s="9"/>
      <c r="O52" s="9"/>
      <c r="P52" s="9"/>
      <c r="Q52" s="6"/>
    </row>
    <row r="53" spans="1:17">
      <c r="A53" s="55"/>
      <c r="B53" s="55"/>
      <c r="C53" s="55"/>
      <c r="D53" s="55"/>
      <c r="E53" s="7"/>
      <c r="F53" s="7"/>
      <c r="G53" s="7"/>
      <c r="H53" s="7"/>
      <c r="I53" s="7"/>
      <c r="J53" s="7"/>
      <c r="K53" s="7"/>
      <c r="L53" s="9"/>
      <c r="M53" s="9"/>
      <c r="N53" s="9"/>
      <c r="O53" s="9"/>
      <c r="P53" s="9"/>
      <c r="Q53" s="6"/>
    </row>
    <row r="54" spans="1:17">
      <c r="A54" s="55"/>
      <c r="B54" s="55"/>
      <c r="C54" s="55"/>
      <c r="D54" s="55"/>
      <c r="E54" s="7"/>
      <c r="F54" s="7"/>
      <c r="G54" s="7"/>
      <c r="H54" s="7"/>
      <c r="I54" s="7"/>
      <c r="J54" s="7"/>
      <c r="K54" s="7"/>
      <c r="L54" s="9"/>
      <c r="M54" s="9"/>
      <c r="N54" s="9"/>
      <c r="O54" s="9"/>
      <c r="P54" s="9"/>
      <c r="Q54" s="6"/>
    </row>
    <row r="55" spans="1:17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9"/>
      <c r="M55" s="9"/>
      <c r="N55" s="9"/>
      <c r="O55" s="9"/>
      <c r="P55" s="9"/>
      <c r="Q55" s="6"/>
    </row>
    <row r="56" spans="1:17">
      <c r="A56" s="9"/>
      <c r="B56" s="5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</row>
    <row r="58" spans="1:17">
      <c r="A58" s="9"/>
      <c r="B58" s="5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</row>
    <row r="59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</sheetData>
  <mergeCells count="17">
    <mergeCell ref="E43:K43"/>
    <mergeCell ref="A42:K42"/>
    <mergeCell ref="E44:K44"/>
    <mergeCell ref="E40:K40"/>
    <mergeCell ref="A38:K38"/>
    <mergeCell ref="A34:K34"/>
    <mergeCell ref="G36:K36"/>
    <mergeCell ref="I5:K5"/>
    <mergeCell ref="I6:K6"/>
    <mergeCell ref="A14:K14"/>
    <mergeCell ref="A18:K18"/>
    <mergeCell ref="G35:K35"/>
    <mergeCell ref="I7:K7"/>
    <mergeCell ref="G16:H16"/>
    <mergeCell ref="A5:C5"/>
    <mergeCell ref="E39:K39"/>
    <mergeCell ref="G15:H15"/>
  </mergeCells>
  <pageMargins left="0.7" right="0.7" top="0.75" bottom="0.75" header="0.3" footer="0.3"/>
  <pageSetup scale="69" fitToHeight="0" orientation="portrait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Bluebird</vt:lpstr>
      <vt:lpstr>Cardinal</vt:lpstr>
      <vt:lpstr>Cherry</vt:lpstr>
      <vt:lpstr>Cougar</vt:lpstr>
      <vt:lpstr>Harrison</vt:lpstr>
      <vt:lpstr>Hayes</vt:lpstr>
      <vt:lpstr>Hickory</vt:lpstr>
      <vt:lpstr>Violet</vt:lpstr>
      <vt:lpstr>Wellons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OPS</dc:creator>
  <cp:lastModifiedBy>OM OPS</cp:lastModifiedBy>
  <cp:lastPrinted>2024-09-15T16:37:52Z</cp:lastPrinted>
  <dcterms:created xsi:type="dcterms:W3CDTF">2024-09-10T13:11:35Z</dcterms:created>
  <dcterms:modified xsi:type="dcterms:W3CDTF">2024-09-19T11:59:09Z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0x0101000EA09F396AA7FF45880637BFC48FFD55</vt:lpwstr>
  </property>
</Properties>
</file>