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lclarke95/Desktop/Bootcamp/Module 1 - Excel/Crowdfunding Analysis/"/>
    </mc:Choice>
  </mc:AlternateContent>
  <xr:revisionPtr revIDLastSave="0" documentId="8_{240583FC-2A45-D54C-ABF8-42F01E92FEFB}" xr6:coauthVersionLast="47" xr6:coauthVersionMax="47" xr10:uidLastSave="{00000000-0000-0000-0000-000000000000}"/>
  <bookViews>
    <workbookView xWindow="32740" yWindow="3220" windowWidth="28680" windowHeight="16380" xr2:uid="{00000000-000D-0000-FFFF-FFFF00000000}"/>
  </bookViews>
  <sheets>
    <sheet name="Kickstarter" sheetId="1" r:id="rId1"/>
    <sheet name="Theater Outcomes by Launch Date" sheetId="13" r:id="rId2"/>
    <sheet name="Outcomes Based on Goals" sheetId="14" r:id="rId3"/>
    <sheet name="Category Statistics" sheetId="2" r:id="rId4"/>
    <sheet name="Subcategory Statistics" sheetId="4" r:id="rId5"/>
    <sheet name="Outcomes Based on Launch Date" sheetId="5" r:id="rId6"/>
    <sheet name="Edinburgh Research" sheetId="6" r:id="rId7"/>
  </sheets>
  <definedNames>
    <definedName name="_xlnm._FilterDatabase" localSheetId="0" hidden="1">Kickstarter!$A$1:$T$4115</definedName>
  </definedNames>
  <calcPr calcId="191029"/>
  <pivotCaches>
    <pivotCache cacheId="3" r:id="rId8"/>
    <pivotCache cacheId="4" r:id="rId9"/>
    <pivotCache cacheId="5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2" i="1" l="1"/>
  <c r="D13" i="14"/>
  <c r="H13" i="14" s="1"/>
  <c r="D12" i="14"/>
  <c r="D11" i="14"/>
  <c r="H11" i="14" s="1"/>
  <c r="D10" i="14"/>
  <c r="H10" i="14" s="1"/>
  <c r="D9" i="14"/>
  <c r="D8" i="14"/>
  <c r="D7" i="14"/>
  <c r="D6" i="14"/>
  <c r="D5" i="14"/>
  <c r="D4" i="14"/>
  <c r="D3" i="14"/>
  <c r="D2" i="14"/>
  <c r="H2" i="14" s="1"/>
  <c r="C13" i="14"/>
  <c r="G13" i="14" s="1"/>
  <c r="C12" i="14"/>
  <c r="C11" i="14"/>
  <c r="G11" i="14" s="1"/>
  <c r="C10" i="14"/>
  <c r="G10" i="14" s="1"/>
  <c r="C9" i="14"/>
  <c r="C8" i="14"/>
  <c r="C7" i="14"/>
  <c r="C6" i="14"/>
  <c r="C5" i="14"/>
  <c r="C4" i="14"/>
  <c r="C3" i="14"/>
  <c r="C2" i="14"/>
  <c r="G2" i="14" s="1"/>
  <c r="B13" i="14"/>
  <c r="E13" i="14" s="1"/>
  <c r="B12" i="14"/>
  <c r="B11" i="14"/>
  <c r="E11" i="14" s="1"/>
  <c r="B10" i="14"/>
  <c r="E10" i="14" s="1"/>
  <c r="B9" i="14"/>
  <c r="B8" i="14"/>
  <c r="B7" i="14"/>
  <c r="B6" i="14"/>
  <c r="B5" i="14"/>
  <c r="B4" i="14"/>
  <c r="B3" i="14"/>
  <c r="B2" i="14"/>
  <c r="E2" i="14" s="1"/>
  <c r="F3" i="6"/>
  <c r="F4" i="6"/>
  <c r="F5" i="6"/>
  <c r="F6" i="6"/>
  <c r="F2" i="6"/>
  <c r="C3" i="6"/>
  <c r="D3" i="6"/>
  <c r="C4" i="6"/>
  <c r="D4" i="6"/>
  <c r="C5" i="6"/>
  <c r="D5" i="6"/>
  <c r="C6" i="6"/>
  <c r="D6" i="6"/>
  <c r="D2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5" i="14" l="1"/>
  <c r="H9" i="14"/>
  <c r="G3" i="14"/>
  <c r="F3" i="14"/>
  <c r="G7" i="14"/>
  <c r="H3" i="14"/>
  <c r="F7" i="14"/>
  <c r="G8" i="14"/>
  <c r="F5" i="14"/>
  <c r="H5" i="14"/>
  <c r="F13" i="14"/>
  <c r="E4" i="14"/>
  <c r="H4" i="14" s="1"/>
  <c r="E12" i="14"/>
  <c r="H12" i="14" s="1"/>
  <c r="F10" i="14"/>
  <c r="F2" i="14"/>
  <c r="F11" i="14"/>
  <c r="E9" i="14"/>
  <c r="F9" i="14" s="1"/>
  <c r="E8" i="14"/>
  <c r="F8" i="14" s="1"/>
  <c r="E6" i="14"/>
  <c r="F6" i="14" s="1"/>
  <c r="E3" i="14"/>
  <c r="E5" i="14"/>
  <c r="E7" i="14"/>
  <c r="H7" i="14" s="1"/>
  <c r="H6" i="14" l="1"/>
  <c r="H8" i="14"/>
  <c r="G9" i="14"/>
  <c r="G12" i="14"/>
  <c r="F12" i="14"/>
  <c r="G4" i="14"/>
  <c r="G6" i="14"/>
  <c r="F4" i="14"/>
</calcChain>
</file>

<file path=xl/sharedStrings.xml><?xml version="1.0" encoding="utf-8"?>
<sst xmlns="http://schemas.openxmlformats.org/spreadsheetml/2006/main" count="33036" uniqueCount="8405">
  <si>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</si>
  <si>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</si>
  <si>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</si>
  <si>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</si>
  <si>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</si>
  <si>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</si>
  <si>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</si>
  <si>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</si>
  <si>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</si>
  <si>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</si>
  <si>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</si>
  <si>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</si>
  <si>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</si>
  <si>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</si>
  <si>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</si>
  <si>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</si>
  <si>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</si>
  <si>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</si>
  <si>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</si>
  <si>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</si>
  <si>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</si>
  <si>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</si>
  <si>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</si>
  <si>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</si>
  <si>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</si>
  <si>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</si>
  <si>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</si>
  <si>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</si>
  <si>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</si>
  <si>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</si>
  <si>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</si>
  <si>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</si>
  <si>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</si>
  <si>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</si>
  <si>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</si>
  <si>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</si>
  <si>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</si>
  <si>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</si>
  <si>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</si>
  <si>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</si>
  <si>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</si>
  <si>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</si>
  <si>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</si>
  <si>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</si>
  <si>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</si>
  <si>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</si>
  <si>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</si>
  <si>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</si>
  <si>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</si>
  <si>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</si>
  <si>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</si>
  <si>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</si>
  <si>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</si>
  <si>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</si>
  <si>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</si>
  <si>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</si>
  <si>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</si>
  <si>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</si>
  <si>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</si>
  <si>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</si>
  <si>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</si>
  <si>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</si>
  <si>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</si>
  <si>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</si>
  <si>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</si>
  <si>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</si>
  <si>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</si>
  <si>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</si>
  <si>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</si>
  <si>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</si>
  <si>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</si>
  <si>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</si>
  <si>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</si>
  <si>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</si>
  <si>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</si>
  <si>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</si>
  <si>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</si>
  <si>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</si>
  <si>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</si>
  <si>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</si>
  <si>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</si>
  <si>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</si>
  <si>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</si>
  <si>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</si>
  <si>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</si>
  <si>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</si>
  <si>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</si>
  <si>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</si>
  <si>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</si>
  <si>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</si>
  <si>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</si>
  <si>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</si>
  <si>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</si>
  <si>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</si>
  <si>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</si>
  <si>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</si>
  <si>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</si>
  <si>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</si>
  <si>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</si>
  <si>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</si>
  <si>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</si>
  <si>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</si>
  <si>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</si>
  <si>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</si>
  <si>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</si>
  <si>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</si>
  <si>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</si>
  <si>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</si>
  <si>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</si>
  <si>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</si>
  <si>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</si>
  <si>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</si>
  <si>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</si>
  <si>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</si>
  <si>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</si>
  <si>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</si>
  <si>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</si>
  <si>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</si>
  <si>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</si>
  <si>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</si>
  <si>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</si>
  <si>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</si>
  <si>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</si>
  <si>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</si>
  <si>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</si>
  <si>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</si>
  <si>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</si>
  <si>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</si>
  <si>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</si>
  <si>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</si>
  <si>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</si>
  <si>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</si>
  <si>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</si>
  <si>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</si>
  <si>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</si>
  <si>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</si>
  <si>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</si>
  <si>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</si>
  <si>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</si>
  <si>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</si>
  <si>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</si>
  <si>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</si>
  <si>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</si>
  <si>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</si>
  <si>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</si>
  <si>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</si>
  <si>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</si>
  <si>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</si>
  <si>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</si>
  <si>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</si>
  <si>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</si>
  <si>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</si>
  <si>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</si>
  <si>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</si>
  <si>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</si>
  <si>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</si>
  <si>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</si>
  <si>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</si>
  <si>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</si>
  <si>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</si>
  <si>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</si>
  <si>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</si>
  <si>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</si>
  <si>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</si>
  <si>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</si>
  <si>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</si>
  <si>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</si>
  <si>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</si>
  <si>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</si>
  <si>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</si>
  <si>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</si>
  <si>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</si>
  <si>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</si>
  <si>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</si>
  <si>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</si>
  <si>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</si>
  <si>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</si>
  <si>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</si>
  <si>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</si>
  <si>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</si>
  <si>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</si>
  <si>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</si>
  <si>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</si>
  <si>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</si>
  <si>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</si>
  <si>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</si>
  <si>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</si>
  <si>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</si>
  <si>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</si>
  <si>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</si>
  <si>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</si>
  <si>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</si>
  <si>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</si>
  <si>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</si>
  <si>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</si>
  <si>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</si>
  <si>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</si>
  <si>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</si>
  <si>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</si>
  <si>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</si>
  <si>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</si>
  <si>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</si>
  <si>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</si>
  <si>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</si>
  <si>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</si>
  <si>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</si>
  <si>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</si>
  <si>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</si>
  <si>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</si>
  <si>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</si>
  <si>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</si>
  <si>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</si>
  <si>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</si>
  <si>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</si>
  <si>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</si>
  <si>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</si>
  <si>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</si>
  <si>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</si>
  <si>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</si>
  <si>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</si>
  <si>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</si>
  <si>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</si>
  <si>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</si>
  <si>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</si>
  <si>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</si>
  <si>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</si>
  <si>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</si>
  <si>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</si>
  <si>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</si>
  <si>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</si>
  <si>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</si>
  <si>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</si>
  <si>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</si>
  <si>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</si>
  <si>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</si>
  <si>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</si>
  <si>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</si>
  <si>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</si>
  <si>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</si>
  <si>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</si>
  <si>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</si>
  <si>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</si>
  <si>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</si>
  <si>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</si>
  <si>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</si>
  <si>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</si>
  <si>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</si>
  <si>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</si>
  <si>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</si>
  <si>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</si>
  <si>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</si>
  <si>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</si>
  <si>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</si>
  <si>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</si>
  <si>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</si>
  <si>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</si>
  <si>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</si>
  <si>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</si>
  <si>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</si>
  <si>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</si>
  <si>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</si>
  <si>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</si>
  <si>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</si>
  <si>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</si>
  <si>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</si>
  <si>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</si>
  <si>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</si>
  <si>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</si>
  <si>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</si>
  <si>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</si>
  <si>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</si>
  <si>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</si>
  <si>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</si>
  <si>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</si>
  <si>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</si>
  <si>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</si>
  <si>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</si>
  <si>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</si>
  <si>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</si>
  <si>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</si>
  <si>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</si>
  <si>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</si>
  <si>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</si>
  <si>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</si>
  <si>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</si>
  <si>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</si>
  <si>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</si>
  <si>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</si>
  <si>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</si>
  <si>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</si>
  <si>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</si>
  <si>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</si>
  <si>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</si>
  <si>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</si>
  <si>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</si>
  <si>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</si>
  <si>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</si>
  <si>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</si>
  <si>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</si>
  <si>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</si>
  <si>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</si>
  <si>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</si>
  <si>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</si>
  <si>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</si>
  <si>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</si>
  <si>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</si>
  <si>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</si>
  <si>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</si>
  <si>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</si>
  <si>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</si>
  <si>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</si>
  <si>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</si>
  <si>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</si>
  <si>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</si>
  <si>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</si>
  <si>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</si>
  <si>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</si>
  <si>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</si>
  <si>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</si>
  <si>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</si>
  <si>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</si>
  <si>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</si>
  <si>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</si>
  <si>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</si>
  <si>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</si>
  <si>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</si>
  <si>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</si>
  <si>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</si>
  <si>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</si>
  <si>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</si>
  <si>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</si>
  <si>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</si>
  <si>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</si>
  <si>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</si>
  <si>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</si>
  <si>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</si>
  <si>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</si>
  <si>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</si>
  <si>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</si>
  <si>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</si>
  <si>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</si>
  <si>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</si>
  <si>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</si>
  <si>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</si>
  <si>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</si>
  <si>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</si>
  <si>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</si>
  <si>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</si>
  <si>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</si>
  <si>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</si>
  <si>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</si>
  <si>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</si>
  <si>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</si>
  <si>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</si>
  <si>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</si>
  <si>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</si>
  <si>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</si>
  <si>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</si>
  <si>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</si>
  <si>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</si>
  <si>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</si>
  <si>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</si>
  <si>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</si>
  <si>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</si>
  <si>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</si>
  <si>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</si>
  <si>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</si>
  <si>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</si>
  <si>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</si>
  <si>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</si>
  <si>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</si>
  <si>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</si>
  <si>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</si>
  <si>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</si>
  <si>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</si>
  <si>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</si>
  <si>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</si>
  <si>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</si>
  <si>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</si>
  <si>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</si>
  <si>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</si>
  <si>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</si>
  <si>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</si>
  <si>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</si>
  <si>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</si>
  <si>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</si>
  <si>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</si>
  <si>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</si>
  <si>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</si>
  <si>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</si>
  <si>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</si>
  <si>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</si>
  <si>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</si>
  <si>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</si>
  <si>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</si>
  <si>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</si>
  <si>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</si>
  <si>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</si>
  <si>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</si>
  <si>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</si>
  <si>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</si>
  <si>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</si>
  <si>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</si>
  <si>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</si>
  <si>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</si>
  <si>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</si>
  <si>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</si>
  <si>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</si>
  <si>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</si>
  <si>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</si>
  <si>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</si>
  <si>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</si>
  <si>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</si>
  <si>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</si>
  <si>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</si>
  <si>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</si>
  <si>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</si>
  <si>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</si>
  <si>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</si>
  <si>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</si>
  <si>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</si>
  <si>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</si>
  <si>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</si>
  <si>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</si>
  <si>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</si>
  <si>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</si>
  <si>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</si>
  <si>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</si>
  <si>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</si>
  <si>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</si>
  <si>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</si>
  <si>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</si>
  <si>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</si>
  <si>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</si>
  <si>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</si>
  <si>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</si>
  <si>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</si>
  <si>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</si>
  <si>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</si>
  <si>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</si>
  <si>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</si>
  <si>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</si>
  <si>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</si>
  <si>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</si>
  <si>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</si>
  <si>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</si>
  <si>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</si>
  <si>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</si>
  <si>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</si>
  <si>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</si>
  <si>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</si>
  <si>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</si>
  <si>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</si>
  <si>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</si>
  <si>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</si>
  <si>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</si>
  <si>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</si>
  <si>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</si>
  <si>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</si>
  <si>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</si>
  <si>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</si>
  <si>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</si>
  <si>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</si>
  <si>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</si>
  <si>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</si>
  <si>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</si>
  <si>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</si>
  <si>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</si>
  <si>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</si>
  <si>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</si>
  <si>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</si>
  <si>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</si>
  <si>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</si>
  <si>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</si>
  <si>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</si>
  <si>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</si>
  <si>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</si>
  <si>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</si>
  <si>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</si>
  <si>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</si>
  <si>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</si>
  <si>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</si>
  <si>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</si>
  <si>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</si>
  <si>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</si>
  <si>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</si>
  <si>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</si>
  <si>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</si>
  <si>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</si>
  <si>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</si>
  <si>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</si>
  <si>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</si>
  <si>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</si>
  <si>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</si>
  <si>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</si>
  <si>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</si>
  <si>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</si>
  <si>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</si>
  <si>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</si>
  <si>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</si>
  <si>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</si>
  <si>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</si>
  <si>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</si>
  <si>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</si>
  <si>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</si>
  <si>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</si>
  <si>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</si>
  <si>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</si>
  <si>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</si>
  <si>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</si>
  <si>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</si>
  <si>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</si>
  <si>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</si>
  <si>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</si>
  <si>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</si>
  <si>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</si>
  <si>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</si>
  <si>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</si>
  <si>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</si>
  <si>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</si>
  <si>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</si>
  <si>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</si>
  <si>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</si>
  <si>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</si>
  <si>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</si>
  <si>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</si>
  <si>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</si>
  <si>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</si>
  <si>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</si>
  <si>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</si>
  <si>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</si>
  <si>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</si>
  <si>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</si>
  <si>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</si>
  <si>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</si>
  <si>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</si>
  <si>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</si>
  <si>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</si>
  <si>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</si>
  <si>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</si>
  <si>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</si>
  <si>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</si>
  <si>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</si>
  <si>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</si>
  <si>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</si>
  <si>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</si>
  <si>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</si>
  <si>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</si>
  <si>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</si>
  <si>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</si>
  <si>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</si>
  <si>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</si>
  <si>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</si>
  <si>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</si>
  <si>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</si>
  <si>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</si>
  <si>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</si>
  <si>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</si>
  <si>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</si>
  <si>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</si>
  <si>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</si>
  <si>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</si>
  <si>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</si>
  <si>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</si>
  <si>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</si>
  <si>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</si>
  <si>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</si>
  <si>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</si>
  <si>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</si>
  <si>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</si>
  <si>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</si>
  <si>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</si>
  <si>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</si>
  <si>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</si>
  <si>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</si>
  <si>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</si>
  <si>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</si>
  <si>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</si>
  <si>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</si>
  <si>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</si>
  <si>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</si>
  <si>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</si>
  <si>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</si>
  <si>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</si>
  <si>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</si>
  <si>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</si>
  <si>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</si>
  <si>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</si>
  <si>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</si>
  <si>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</si>
  <si>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</si>
  <si>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</si>
  <si>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</si>
  <si>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</si>
  <si>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</si>
  <si>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</si>
  <si>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</si>
  <si>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</si>
  <si>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</si>
  <si>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</si>
  <si>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</si>
  <si>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</si>
  <si>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</si>
  <si>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</si>
  <si>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</si>
  <si>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</si>
  <si>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</si>
  <si>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</si>
  <si>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</si>
  <si>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</si>
  <si>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</si>
  <si>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</si>
  <si>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</si>
  <si>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</si>
  <si>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</si>
  <si>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</si>
  <si>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</si>
  <si>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</si>
  <si>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</si>
  <si>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</si>
  <si>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</si>
  <si>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</si>
  <si>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</si>
  <si>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</si>
  <si>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</si>
  <si>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</si>
  <si>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</si>
  <si>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</si>
  <si>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</si>
  <si>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</si>
  <si>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</si>
  <si>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</si>
  <si>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</si>
  <si>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</si>
  <si>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</si>
  <si>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</si>
  <si>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</si>
  <si>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</si>
  <si>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</si>
  <si>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</si>
  <si>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</si>
  <si>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</si>
  <si>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</si>
  <si>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</si>
  <si>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</si>
  <si>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</si>
  <si>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</si>
  <si>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</si>
  <si>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</si>
  <si>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</si>
  <si>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</si>
  <si>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</si>
  <si>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</si>
  <si>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</si>
  <si>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</si>
  <si>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</si>
  <si>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</si>
  <si>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</si>
  <si>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</si>
  <si>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</si>
  <si>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</si>
  <si>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</si>
  <si>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</si>
  <si>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</si>
  <si>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</si>
  <si>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</si>
  <si>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</si>
  <si>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</si>
  <si>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</si>
  <si>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</si>
  <si>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</si>
  <si>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</si>
  <si>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</si>
  <si>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</si>
  <si>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</si>
  <si>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</si>
  <si>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</si>
  <si>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</si>
  <si>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</si>
  <si>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</si>
  <si>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</si>
  <si>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</si>
  <si>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</si>
  <si>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</si>
  <si>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</si>
  <si>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</si>
  <si>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</si>
  <si>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</si>
  <si>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</si>
  <si>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</si>
  <si>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</si>
  <si>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</si>
  <si>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</si>
  <si>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</si>
  <si>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</si>
  <si>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</si>
  <si>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</si>
  <si>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</si>
  <si>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</si>
  <si>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</si>
  <si>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</si>
  <si>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</si>
  <si>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</si>
  <si>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</si>
  <si>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</si>
  <si>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</si>
  <si>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</si>
  <si>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</si>
  <si>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</si>
  <si>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</si>
  <si>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</si>
  <si>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</si>
  <si>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</si>
  <si>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</si>
  <si>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</si>
  <si>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</si>
  <si>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</si>
  <si>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</si>
  <si>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</si>
  <si>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</si>
  <si>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</si>
  <si>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</si>
  <si>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</si>
  <si>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</si>
  <si>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</si>
  <si>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</si>
  <si>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</si>
  <si>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</si>
  <si>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</si>
  <si>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</si>
  <si>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</si>
  <si>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</si>
  <si>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</si>
  <si>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</si>
  <si>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</si>
  <si>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</si>
  <si>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</si>
  <si>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</si>
  <si>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</si>
  <si>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</si>
  <si>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</si>
  <si>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</si>
  <si>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</si>
  <si>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</si>
  <si>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</si>
  <si>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</si>
  <si>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</si>
  <si>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</si>
  <si>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</si>
  <si>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</si>
  <si>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</si>
  <si>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</si>
  <si>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</si>
  <si>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</si>
  <si>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</si>
  <si>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</si>
  <si>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</si>
  <si>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</si>
  <si>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</si>
  <si>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</si>
  <si>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</si>
  <si>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</si>
  <si>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</si>
  <si>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</si>
  <si>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</si>
  <si>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</si>
  <si>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</si>
  <si>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</si>
  <si>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</si>
  <si>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</si>
  <si>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</si>
  <si>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</si>
  <si>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</si>
  <si>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</si>
  <si>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</si>
  <si>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</si>
  <si>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</si>
  <si>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</si>
  <si>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</si>
  <si>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</si>
  <si>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</si>
  <si>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</si>
  <si>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</si>
  <si>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</si>
  <si>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</si>
  <si>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</si>
  <si>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</si>
  <si>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</si>
  <si>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</si>
  <si>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</si>
  <si>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</si>
  <si>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</si>
  <si>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</si>
  <si>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</si>
  <si>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</si>
  <si>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</si>
  <si>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</si>
  <si>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</si>
  <si>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</si>
  <si>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</si>
  <si>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</si>
  <si>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</si>
  <si>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</si>
  <si>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</si>
  <si>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</si>
  <si>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</si>
  <si>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</si>
  <si>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</si>
  <si>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</si>
  <si>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</si>
  <si>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</si>
  <si>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</si>
  <si>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</si>
  <si>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</si>
  <si>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</si>
  <si>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</si>
  <si>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</si>
  <si>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</si>
  <si>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</si>
  <si>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</si>
  <si>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</si>
  <si>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</si>
  <si>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</si>
  <si>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</si>
  <si>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</si>
  <si>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</si>
  <si>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</si>
  <si>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</si>
  <si>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</si>
  <si>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</si>
  <si>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</si>
  <si>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</si>
  <si>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</si>
  <si>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</si>
  <si>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</si>
  <si>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</si>
  <si>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</si>
  <si>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</si>
  <si>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</si>
  <si>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</si>
  <si>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</si>
  <si>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</si>
  <si>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</si>
  <si>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</si>
  <si>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</si>
  <si>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</si>
  <si>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</si>
  <si>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</si>
  <si>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</si>
  <si>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</si>
  <si>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</si>
  <si>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</si>
  <si>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</si>
  <si>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</si>
  <si>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</si>
  <si>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</si>
  <si>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</si>
  <si>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</si>
  <si>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</si>
  <si>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</si>
  <si>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</si>
  <si>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</si>
  <si>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</si>
  <si>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</si>
  <si>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</si>
  <si>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</si>
  <si>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</si>
  <si>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</si>
  <si>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</si>
  <si>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</si>
  <si>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</si>
  <si>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</si>
  <si>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</si>
  <si>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</si>
  <si>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</si>
  <si>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</si>
  <si>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</si>
  <si>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</si>
  <si>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</si>
  <si>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</si>
  <si>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</si>
  <si>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</si>
  <si>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</si>
  <si>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</si>
  <si>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</si>
  <si>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</si>
  <si>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</si>
  <si>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</si>
  <si>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</si>
  <si>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</si>
  <si>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</si>
  <si>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</si>
  <si>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</si>
  <si>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</si>
  <si>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</si>
  <si>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</si>
  <si>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</si>
  <si>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</si>
  <si>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</si>
  <si>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</si>
  <si>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</si>
  <si>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</si>
  <si>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</si>
  <si>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</si>
  <si>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</si>
  <si>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</si>
  <si>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</si>
  <si>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</si>
  <si>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</si>
  <si>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</si>
  <si>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</si>
  <si>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</si>
  <si>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</si>
  <si>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</si>
  <si>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</si>
  <si>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</si>
  <si>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</si>
  <si>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</si>
  <si>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</si>
  <si>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</si>
  <si>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</si>
  <si>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</si>
  <si>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</si>
  <si>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</si>
  <si>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</si>
  <si>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</si>
  <si>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</si>
  <si>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</si>
  <si>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</si>
  <si>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</si>
  <si>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</si>
  <si>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</si>
  <si>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</si>
  <si>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</si>
  <si>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</si>
  <si>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</si>
  <si>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</si>
  <si>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</si>
  <si>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</si>
  <si>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</si>
  <si>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</si>
  <si>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</si>
  <si>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</si>
  <si>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</si>
  <si>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</si>
  <si>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</si>
  <si>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</si>
  <si>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</si>
  <si>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</si>
  <si>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</si>
  <si>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</si>
  <si>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</si>
  <si>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</si>
  <si>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</si>
  <si>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</si>
  <si>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</si>
  <si>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</si>
  <si>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</si>
  <si>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</si>
  <si>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</si>
  <si>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</si>
  <si>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</si>
  <si>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</si>
  <si>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</si>
  <si>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</si>
  <si>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</si>
  <si>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</si>
  <si>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</si>
  <si>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</si>
  <si>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</si>
  <si>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</si>
  <si>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</si>
  <si>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</si>
  <si>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</si>
  <si>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</si>
  <si>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</si>
  <si>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</si>
  <si>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</si>
  <si>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</si>
  <si>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</si>
  <si>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</si>
  <si>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</si>
  <si>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</si>
  <si>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</si>
  <si>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</si>
  <si>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</si>
  <si>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</si>
  <si>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</si>
  <si>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</si>
  <si>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</si>
  <si>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</si>
  <si>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</si>
  <si>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</si>
  <si>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</si>
  <si>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</si>
  <si>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</si>
  <si>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</si>
  <si>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</si>
  <si>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</si>
  <si>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</si>
  <si>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</si>
  <si>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</si>
  <si>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</si>
  <si>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</si>
  <si>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</si>
  <si>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</si>
  <si>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</si>
  <si>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</si>
  <si>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</si>
  <si>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</si>
  <si>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</si>
  <si>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</si>
  <si>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</si>
  <si>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</si>
  <si>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</si>
  <si>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</si>
  <si>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</si>
  <si>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</si>
  <si>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</si>
  <si>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</si>
  <si>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</si>
  <si>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</si>
  <si>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</si>
  <si>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</si>
  <si>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</si>
  <si>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</si>
  <si>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</si>
  <si>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</si>
  <si>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</si>
  <si>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</si>
  <si>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</si>
  <si>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</si>
  <si>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</si>
  <si>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</si>
  <si>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</si>
  <si>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</si>
  <si>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</si>
  <si>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</si>
  <si>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</si>
  <si>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</si>
  <si>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</si>
  <si>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</si>
  <si>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</si>
  <si>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</si>
  <si>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</si>
  <si>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</si>
  <si>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</si>
  <si>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</si>
  <si>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</si>
  <si>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</si>
  <si>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</si>
  <si>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</si>
  <si>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</si>
  <si>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</si>
  <si>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</si>
  <si>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</si>
  <si>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</si>
  <si>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</si>
  <si>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</si>
  <si>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</si>
  <si>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</si>
  <si>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</si>
  <si>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</si>
  <si>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</si>
  <si>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</si>
  <si>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</si>
  <si>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</si>
  <si>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</si>
  <si>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</si>
  <si>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</si>
  <si>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</si>
  <si>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</si>
  <si>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</si>
  <si>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</si>
  <si>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</si>
  <si>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</si>
  <si>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</si>
  <si>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</si>
  <si>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</si>
  <si>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</si>
  <si>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</si>
  <si>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</si>
  <si>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</si>
  <si>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</si>
  <si>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</si>
  <si>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</si>
  <si>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</si>
  <si>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</si>
  <si>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</si>
  <si>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</si>
  <si>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</si>
  <si>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</si>
  <si>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</si>
  <si>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</si>
  <si>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</si>
  <si>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</si>
  <si>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</si>
  <si>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</si>
  <si>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</si>
  <si>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</si>
  <si>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</si>
  <si>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</si>
  <si>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</si>
  <si>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</si>
  <si>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</si>
  <si>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</si>
  <si>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</si>
  <si>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</si>
  <si>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</si>
  <si>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</si>
  <si>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</si>
  <si>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</si>
  <si>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</si>
  <si>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</si>
  <si>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</si>
  <si>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</si>
  <si>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</si>
  <si>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</si>
  <si>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</si>
  <si>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</si>
  <si>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</si>
  <si>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</si>
  <si>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</si>
  <si>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</si>
  <si>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</si>
  <si>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</si>
  <si>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</si>
  <si>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</si>
  <si>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</si>
  <si>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</si>
  <si>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</si>
  <si>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</si>
  <si>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</si>
  <si>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</si>
  <si>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</si>
  <si>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</si>
  <si>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</si>
  <si>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</si>
  <si>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</si>
  <si>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</si>
  <si>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</si>
  <si>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</si>
  <si>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</si>
  <si>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</si>
  <si>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</si>
  <si>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</si>
  <si>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</si>
  <si>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</si>
  <si>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</si>
  <si>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</si>
  <si>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</si>
  <si>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</si>
  <si>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</si>
  <si>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</si>
  <si>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</si>
  <si>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</si>
  <si>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</si>
  <si>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</si>
  <si>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</si>
  <si>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</si>
  <si>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</si>
  <si>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</si>
  <si>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</si>
  <si>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</si>
  <si>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</si>
  <si>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</si>
  <si>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</si>
  <si>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</si>
  <si>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</si>
  <si>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</si>
  <si>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</si>
  <si>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</si>
  <si>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</si>
  <si>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</si>
  <si>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</si>
  <si>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</si>
  <si>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</si>
  <si>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</si>
  <si>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</si>
  <si>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</si>
  <si>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</si>
  <si>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</si>
  <si>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</si>
  <si>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</si>
  <si>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</si>
  <si>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</si>
  <si>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</si>
  <si>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</si>
  <si>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</si>
  <si>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</si>
  <si>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</si>
  <si>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</si>
  <si>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</si>
  <si>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</si>
  <si>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</si>
  <si>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</si>
  <si>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</si>
  <si>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</si>
  <si>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</si>
  <si>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</si>
  <si>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</si>
  <si>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</si>
  <si>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</si>
  <si>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</si>
  <si>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</si>
  <si>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</si>
  <si>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</si>
  <si>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</si>
  <si>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</si>
  <si>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</si>
  <si>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</si>
  <si>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</si>
  <si>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</si>
  <si>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</si>
  <si>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</si>
  <si>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</si>
  <si>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</si>
  <si>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</si>
  <si>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</si>
  <si>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</si>
  <si>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</si>
  <si>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</si>
  <si>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</si>
  <si>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</si>
  <si>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</si>
  <si>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</si>
  <si>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</si>
  <si>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</si>
  <si>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</si>
  <si>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</si>
  <si>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</si>
  <si>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</si>
  <si>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</si>
  <si>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</si>
  <si>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</si>
  <si>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</si>
  <si>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</si>
  <si>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</si>
  <si>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</si>
  <si>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</si>
  <si>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</si>
  <si>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</si>
  <si>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</si>
  <si>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</si>
  <si>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</si>
  <si>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</si>
  <si>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</si>
  <si>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</si>
  <si>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</si>
  <si>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</si>
  <si>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</si>
  <si>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</si>
  <si>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</si>
  <si>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</si>
  <si>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</si>
  <si>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</si>
  <si>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</si>
  <si>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</si>
  <si>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</si>
  <si>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</si>
  <si>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</si>
  <si>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</si>
  <si>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</si>
  <si>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</si>
  <si>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</si>
  <si>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</si>
  <si>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</si>
  <si>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</si>
  <si>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</si>
  <si>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</si>
  <si>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</si>
  <si>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</si>
  <si>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</si>
  <si>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</si>
  <si>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</si>
  <si>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</si>
  <si>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</si>
  <si>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</si>
  <si>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</si>
  <si>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</si>
  <si>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</si>
  <si>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</si>
  <si>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</si>
  <si>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</si>
  <si>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</si>
  <si>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</si>
  <si>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</si>
  <si>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</si>
  <si>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</si>
  <si>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</si>
  <si>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</si>
  <si>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</si>
  <si>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</si>
  <si>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</si>
  <si>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</si>
  <si>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</si>
  <si>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</si>
  <si>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</si>
  <si>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</si>
  <si>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</si>
  <si>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</si>
  <si>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</si>
  <si>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</si>
  <si>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</si>
  <si>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</si>
  <si>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</si>
  <si>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</si>
  <si>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</si>
  <si>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</si>
  <si>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</si>
  <si>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</si>
  <si>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</si>
  <si>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</si>
  <si>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</si>
  <si>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</si>
  <si>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</si>
  <si>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</si>
  <si>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</si>
  <si>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</si>
  <si>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</si>
  <si>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</si>
  <si>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</si>
  <si>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</si>
  <si>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</si>
  <si>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</si>
  <si>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</si>
  <si>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</si>
  <si>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</si>
  <si>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</si>
  <si>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</si>
  <si>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</si>
  <si>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</si>
  <si>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</si>
  <si>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</si>
  <si>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</si>
  <si>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</si>
  <si>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</si>
  <si>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</si>
  <si>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</si>
  <si>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</si>
  <si>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</si>
  <si>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</si>
  <si>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</si>
  <si>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</si>
  <si>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</si>
  <si>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</si>
  <si>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</si>
  <si>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</si>
  <si>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</si>
  <si>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</si>
  <si>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</si>
  <si>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</si>
  <si>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</si>
  <si>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</si>
  <si>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</si>
  <si>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</si>
  <si>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</si>
  <si>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</si>
  <si>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</si>
  <si>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</si>
  <si>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</si>
  <si>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</si>
  <si>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</si>
  <si>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</si>
  <si>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</si>
  <si>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</si>
  <si>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</si>
  <si>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</si>
  <si>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</si>
  <si>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</si>
  <si>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</si>
  <si>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</si>
  <si>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</si>
  <si>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</si>
  <si>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</si>
  <si>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</si>
  <si>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</si>
  <si>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</si>
  <si>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</si>
  <si>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</si>
  <si>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</si>
  <si>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</si>
  <si>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</si>
  <si>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</si>
  <si>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</si>
  <si>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</si>
  <si>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</si>
  <si>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</si>
  <si>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</si>
  <si>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</si>
  <si>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</si>
  <si>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</si>
  <si>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</si>
  <si>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</si>
  <si>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</si>
  <si>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</si>
  <si>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</si>
  <si>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</si>
  <si>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</si>
  <si>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</si>
  <si>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</si>
  <si>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</si>
  <si>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</si>
  <si>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</si>
  <si>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</si>
  <si>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</si>
  <si>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</si>
  <si>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</si>
  <si>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</si>
  <si>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</si>
  <si>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</si>
  <si>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</si>
  <si>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</si>
  <si>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</si>
  <si>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</si>
  <si>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</si>
  <si>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</si>
  <si>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</si>
  <si>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</si>
  <si>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</si>
  <si>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</si>
  <si>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</si>
  <si>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</si>
  <si>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</si>
  <si>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</si>
  <si>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</si>
  <si>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</si>
  <si>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</si>
  <si>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</si>
  <si>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</si>
  <si>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</si>
  <si>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</si>
  <si>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</si>
  <si>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</si>
  <si>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</si>
  <si>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</si>
  <si>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</si>
  <si>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</si>
  <si>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</si>
  <si>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</si>
  <si>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</si>
  <si>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</si>
  <si>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</si>
  <si>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</si>
  <si>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</si>
  <si>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</si>
  <si>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</si>
  <si>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</si>
  <si>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</si>
  <si>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</si>
  <si>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</si>
  <si>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</si>
  <si>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</si>
  <si>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</si>
  <si>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</si>
  <si>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</si>
  <si>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</si>
  <si>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</si>
  <si>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</si>
  <si>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</si>
  <si>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</si>
  <si>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</si>
  <si>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</si>
  <si>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</si>
  <si>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</si>
  <si>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</si>
  <si>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</si>
  <si>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</si>
  <si>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</si>
  <si>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</si>
  <si>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</si>
  <si>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</si>
  <si>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</si>
  <si>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</si>
  <si>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</si>
  <si>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</si>
  <si>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</si>
  <si>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</si>
  <si>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</si>
  <si>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</si>
  <si>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</si>
  <si>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</si>
  <si>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</si>
  <si>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</si>
  <si>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</si>
  <si>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</si>
  <si>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</si>
  <si>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</si>
  <si>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</si>
  <si>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</si>
  <si>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</si>
  <si>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</si>
  <si>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</si>
  <si>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</si>
  <si>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</si>
  <si>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</si>
  <si>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</si>
  <si>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</si>
  <si>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</si>
  <si>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</si>
  <si>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</si>
  <si>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</si>
  <si>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</si>
  <si>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</si>
  <si>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</si>
  <si>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</si>
  <si>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</si>
  <si>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</si>
  <si>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</si>
  <si>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</si>
  <si>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</si>
  <si>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</si>
  <si>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</si>
  <si>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</si>
  <si>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</si>
  <si>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</si>
  <si>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</si>
  <si>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</si>
  <si>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</si>
  <si>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</si>
  <si>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</si>
  <si>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</si>
  <si>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</si>
  <si>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</si>
  <si>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</si>
  <si>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</si>
  <si>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</si>
  <si>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</si>
  <si>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</si>
  <si>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</si>
  <si>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</si>
  <si>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</si>
  <si>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</si>
  <si>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</si>
  <si>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</si>
  <si>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</si>
  <si>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</si>
  <si>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</si>
  <si>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</si>
  <si>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</si>
  <si>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</si>
  <si>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</si>
  <si>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</si>
  <si>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</si>
  <si>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</si>
  <si>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</si>
  <si>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</si>
  <si>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</si>
  <si>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</si>
  <si>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</si>
  <si>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</si>
  <si>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</si>
  <si>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</si>
  <si>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</si>
  <si>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</si>
  <si>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</si>
  <si>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</si>
  <si>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</si>
  <si>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</si>
  <si>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</si>
  <si>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</si>
  <si>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</si>
  <si>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</si>
  <si>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</si>
  <si>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</si>
  <si>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</si>
  <si>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</si>
  <si>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</si>
  <si>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</si>
  <si>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</si>
  <si>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</si>
  <si>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</si>
  <si>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</si>
  <si>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</si>
  <si>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</si>
  <si>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</si>
  <si>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</si>
  <si>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</si>
  <si>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</si>
  <si>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</si>
  <si>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</si>
  <si>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</si>
  <si>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</si>
  <si>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</si>
  <si>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</si>
  <si>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</si>
  <si>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</si>
  <si>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</si>
  <si>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</si>
  <si>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</si>
  <si>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</si>
  <si>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</si>
  <si>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</si>
  <si>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</si>
  <si>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</si>
  <si>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</si>
  <si>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</si>
  <si>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</si>
  <si>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</si>
  <si>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</si>
  <si>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</si>
  <si>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</si>
  <si>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</si>
  <si>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</si>
  <si>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</si>
  <si>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</si>
  <si>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</si>
  <si>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</si>
  <si>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</si>
  <si>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</si>
  <si>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</si>
  <si>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</si>
  <si>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</si>
  <si>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</si>
  <si>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</si>
  <si>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</si>
  <si>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</si>
  <si>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</si>
  <si>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</si>
  <si>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</si>
  <si>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</si>
  <si>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</si>
  <si>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</si>
  <si>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</si>
  <si>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</si>
  <si>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</si>
  <si>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</si>
  <si>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</si>
  <si>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</si>
  <si>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</si>
  <si>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</si>
  <si>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</si>
  <si>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</si>
  <si>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</si>
  <si>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</si>
  <si>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</si>
  <si>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</si>
  <si>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</si>
  <si>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</si>
  <si>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</si>
  <si>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</si>
  <si>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</si>
  <si>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</si>
  <si>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</si>
  <si>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</si>
  <si>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</si>
  <si>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</si>
  <si>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</si>
  <si>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</si>
  <si>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</si>
  <si>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</si>
  <si>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</si>
  <si>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</si>
  <si>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</si>
  <si>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</si>
  <si>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</si>
  <si>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</si>
  <si>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</si>
  <si>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</si>
  <si>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</si>
  <si>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</si>
  <si>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</si>
  <si>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</si>
  <si>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</si>
  <si>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</si>
  <si>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</si>
  <si>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</si>
  <si>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</si>
  <si>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</si>
  <si>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</si>
  <si>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</si>
  <si>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</si>
  <si>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</si>
  <si>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</si>
  <si>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</si>
  <si>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</si>
  <si>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</si>
  <si>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</si>
  <si>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</si>
  <si>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</si>
  <si>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</si>
  <si>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</si>
  <si>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</si>
  <si>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</si>
  <si>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</si>
  <si>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</si>
  <si>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</si>
  <si>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</si>
  <si>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</si>
  <si>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</si>
  <si>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</si>
  <si>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</si>
  <si>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</si>
  <si>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</si>
  <si>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</si>
  <si>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</si>
  <si>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</si>
  <si>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</si>
  <si>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</si>
  <si>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</si>
  <si>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</si>
  <si>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</si>
  <si>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</si>
  <si>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</si>
  <si>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</si>
  <si>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</si>
  <si>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</si>
  <si>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</si>
  <si>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</si>
  <si>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</si>
  <si>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</si>
  <si>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</si>
  <si>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</si>
  <si>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</si>
  <si>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</si>
  <si>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</si>
  <si>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</si>
  <si>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</si>
  <si>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</si>
  <si>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</si>
  <si>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</si>
  <si>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</si>
  <si>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</si>
  <si>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</si>
  <si>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</si>
  <si>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</si>
  <si>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</si>
  <si>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</si>
  <si>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</si>
  <si>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</si>
  <si>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</si>
  <si>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</si>
  <si>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</si>
  <si>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</si>
  <si>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</si>
  <si>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</si>
  <si>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</si>
  <si>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</si>
  <si>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</si>
  <si>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</si>
  <si>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</si>
  <si>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</si>
  <si>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</si>
  <si>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</si>
  <si>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</si>
  <si>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</si>
  <si>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</si>
  <si>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</si>
  <si>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</si>
  <si>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</si>
  <si>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</si>
  <si>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</si>
  <si>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</si>
  <si>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</si>
  <si>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</si>
  <si>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</si>
  <si>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</si>
  <si>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</si>
  <si>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</si>
  <si>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</si>
  <si>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</si>
  <si>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</si>
  <si>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</si>
  <si>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</si>
  <si>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</si>
  <si>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</si>
  <si>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</si>
  <si>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</si>
  <si>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</si>
  <si>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</si>
  <si>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</si>
  <si>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</si>
  <si>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</si>
  <si>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</si>
  <si>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</si>
  <si>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</si>
  <si>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</si>
  <si>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</si>
  <si>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</si>
  <si>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</si>
  <si>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</si>
  <si>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</si>
  <si>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</si>
  <si>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</si>
  <si>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</si>
  <si>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</si>
  <si>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</si>
  <si>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</si>
  <si>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</si>
  <si>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</si>
  <si>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</si>
  <si>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</si>
  <si>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</si>
  <si>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</si>
  <si>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</si>
  <si>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</si>
  <si>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</si>
  <si>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</si>
  <si>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</si>
  <si>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</si>
  <si>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</si>
  <si>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</si>
  <si>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</si>
  <si>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</si>
  <si>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</si>
  <si>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</si>
  <si>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</si>
  <si>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</si>
  <si>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</si>
  <si>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</si>
  <si>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</si>
  <si>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</si>
  <si>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</si>
  <si>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</si>
  <si>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</si>
  <si>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</si>
  <si>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</si>
  <si>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</si>
  <si>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</si>
  <si>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</si>
  <si>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</si>
  <si>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</si>
  <si>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</si>
  <si>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</si>
  <si>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</si>
  <si>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</si>
  <si>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</si>
  <si>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</si>
  <si>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</si>
  <si>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</si>
  <si>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</si>
  <si>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</si>
  <si>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</si>
  <si>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</si>
  <si>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</si>
  <si>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</si>
  <si>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</si>
  <si>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</si>
  <si>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</si>
  <si>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</si>
  <si>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</si>
  <si>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</si>
  <si>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</si>
  <si>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</si>
  <si>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</si>
  <si>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</si>
  <si>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</si>
  <si>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</si>
  <si>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</si>
  <si>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</si>
  <si>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</si>
  <si>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</si>
  <si>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</si>
  <si>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</si>
  <si>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</si>
  <si>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</si>
  <si>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</si>
  <si>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</si>
  <si>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</si>
  <si>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</si>
  <si>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</si>
  <si>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</si>
  <si>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</si>
  <si>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</si>
  <si>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</si>
  <si>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</si>
  <si>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</si>
  <si>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</si>
  <si>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</si>
  <si>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</si>
  <si>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</si>
  <si>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</si>
  <si>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</si>
  <si>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</si>
  <si>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</si>
  <si>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</si>
  <si>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</si>
  <si>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</si>
  <si>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</si>
  <si>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</si>
  <si>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</si>
  <si>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</si>
  <si>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</si>
  <si>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</si>
  <si>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</si>
  <si>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</si>
  <si>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</si>
  <si>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</si>
  <si>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</si>
  <si>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</si>
  <si>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</si>
  <si>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</si>
  <si>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</si>
  <si>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</si>
  <si>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</si>
  <si>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</si>
  <si>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</si>
  <si>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</si>
  <si>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</si>
  <si>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</si>
  <si>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</si>
  <si>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</si>
  <si>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</si>
  <si>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</si>
  <si>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</si>
  <si>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</si>
  <si>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</si>
  <si>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</si>
  <si>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</si>
  <si>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</si>
  <si>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</si>
  <si>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</si>
  <si>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</si>
  <si>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</si>
  <si>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</si>
  <si>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</si>
  <si>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</si>
  <si>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</si>
  <si>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</si>
  <si>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</si>
  <si>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</si>
  <si>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</si>
  <si>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</si>
  <si>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</si>
  <si>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</si>
  <si>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</si>
  <si>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</si>
  <si>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</si>
  <si>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</si>
  <si>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</si>
  <si>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</si>
  <si>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</si>
  <si>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</si>
  <si>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</si>
  <si>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</si>
  <si>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</si>
  <si>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</si>
  <si>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</si>
  <si>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</si>
  <si>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</si>
  <si>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</si>
  <si>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</si>
  <si>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</si>
  <si>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</si>
  <si>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</si>
  <si>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</si>
  <si>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</si>
  <si>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</si>
  <si>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</si>
  <si>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</si>
  <si>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</si>
  <si>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</si>
  <si>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</si>
  <si>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</si>
  <si>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</si>
  <si>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</si>
  <si>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</si>
  <si>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</si>
  <si>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</si>
  <si>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</si>
  <si>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</si>
  <si>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</si>
  <si>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</si>
  <si>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</si>
  <si>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</si>
  <si>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</si>
  <si>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</si>
  <si>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</si>
  <si>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</si>
  <si>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</si>
  <si>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</si>
  <si>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</si>
  <si>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</si>
  <si>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</si>
  <si>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</si>
  <si>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</si>
  <si>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</si>
  <si>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</si>
  <si>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</si>
  <si>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</si>
  <si>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</si>
  <si>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</si>
  <si>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</si>
  <si>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</si>
  <si>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</si>
  <si>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</si>
  <si>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</si>
  <si>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</si>
  <si>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</si>
  <si>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</si>
  <si>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</si>
  <si>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</si>
  <si>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</si>
  <si>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</si>
  <si>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</si>
  <si>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</si>
  <si>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</si>
  <si>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</si>
  <si>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</si>
  <si>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</si>
  <si>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</si>
  <si>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</si>
  <si>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</si>
  <si>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</si>
  <si>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</si>
  <si>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</si>
  <si>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</si>
  <si>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</si>
  <si>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</si>
  <si>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</si>
  <si>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</si>
  <si>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</si>
  <si>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</si>
  <si>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</si>
  <si>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</si>
  <si>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</si>
  <si>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</si>
  <si>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</si>
  <si>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</si>
  <si>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</si>
  <si>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</si>
  <si>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</si>
  <si>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</si>
  <si>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</si>
  <si>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</si>
  <si>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</si>
  <si>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</si>
  <si>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</si>
  <si>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</si>
  <si>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</si>
  <si>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</si>
  <si>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</si>
  <si>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</si>
  <si>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</si>
  <si>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</si>
  <si>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</si>
  <si>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</si>
  <si>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</si>
  <si>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</si>
  <si>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</si>
  <si>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</si>
  <si>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</si>
  <si>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</si>
  <si>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</si>
  <si>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</si>
  <si>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</si>
  <si>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</si>
  <si>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</si>
  <si>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</si>
  <si>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</si>
  <si>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</si>
  <si>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</si>
  <si>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</si>
  <si>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</si>
  <si>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</si>
  <si>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</si>
  <si>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</si>
  <si>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</si>
  <si>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</si>
  <si>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</si>
  <si>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</si>
  <si>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</si>
  <si>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</si>
  <si>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</si>
  <si>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</si>
  <si>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</si>
  <si>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</si>
  <si>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</si>
  <si>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</si>
  <si>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</si>
  <si>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</si>
  <si>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</si>
  <si>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</si>
  <si>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</si>
  <si>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</si>
  <si>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</si>
  <si>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</si>
  <si>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</si>
  <si>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</si>
  <si>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</si>
  <si>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</si>
  <si>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</si>
  <si>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</si>
  <si>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</si>
  <si>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</si>
  <si>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</si>
  <si>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</si>
  <si>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</si>
  <si>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</si>
  <si>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</si>
  <si>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</si>
  <si>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</si>
  <si>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</si>
  <si>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</si>
  <si>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</si>
  <si>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</si>
  <si>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</si>
  <si>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</si>
  <si>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</si>
  <si>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</si>
  <si>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</si>
  <si>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</si>
  <si>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</si>
  <si>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</si>
  <si>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</si>
  <si>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</si>
  <si>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</si>
  <si>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</si>
  <si>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</si>
  <si>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</si>
  <si>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</si>
  <si>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</si>
  <si>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</si>
  <si>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</si>
  <si>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</si>
  <si>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</si>
  <si>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</si>
  <si>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</si>
  <si>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</si>
  <si>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</si>
  <si>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</si>
  <si>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</si>
  <si>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</si>
  <si>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</si>
  <si>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</si>
  <si>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</si>
  <si>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</si>
  <si>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</si>
  <si>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</si>
  <si>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</si>
  <si>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</si>
  <si>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</si>
  <si>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</si>
  <si>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</si>
  <si>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</si>
  <si>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</si>
  <si>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</si>
  <si>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</si>
  <si>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</si>
  <si>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</si>
  <si>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</si>
  <si>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</si>
  <si>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</si>
  <si>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</si>
  <si>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</si>
  <si>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</si>
  <si>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</si>
  <si>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</si>
  <si>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</si>
  <si>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</si>
  <si>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</si>
  <si>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</si>
  <si>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</si>
  <si>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</si>
  <si>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</si>
  <si>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</si>
  <si>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</si>
  <si>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</si>
  <si>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</si>
  <si>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</si>
  <si>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</si>
  <si>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</si>
  <si>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</si>
  <si>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</si>
  <si>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</si>
  <si>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</si>
  <si>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</si>
  <si>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</si>
  <si>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</si>
  <si>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</si>
  <si>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</si>
  <si>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</si>
  <si>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</si>
  <si>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</si>
  <si>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</si>
  <si>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</si>
  <si>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</si>
  <si>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</si>
  <si>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</si>
  <si>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</si>
  <si>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</si>
  <si>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</si>
  <si>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</si>
  <si>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</si>
  <si>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</si>
  <si>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</si>
  <si>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</si>
  <si>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</si>
  <si>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</si>
  <si>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</si>
  <si>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</si>
  <si>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</si>
  <si>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</si>
  <si>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</si>
  <si>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</si>
  <si>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</si>
  <si>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</si>
  <si>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</si>
  <si>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</si>
  <si>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</si>
  <si>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</si>
  <si>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</si>
  <si>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</si>
  <si>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</si>
  <si>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</si>
  <si>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</si>
  <si>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</si>
  <si>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</si>
  <si>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</si>
  <si>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</si>
  <si>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</si>
  <si>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</si>
  <si>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</si>
  <si>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</si>
  <si>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</si>
  <si>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</si>
  <si>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</si>
  <si>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</si>
  <si>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</si>
  <si>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</si>
  <si>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</si>
  <si>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</si>
  <si>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</si>
  <si>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</si>
  <si>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</si>
  <si>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</si>
  <si>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</si>
  <si>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</si>
  <si>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</si>
  <si>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</si>
  <si>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</si>
  <si>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</si>
  <si>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</si>
  <si>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</si>
  <si>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</si>
  <si>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</si>
  <si>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</si>
  <si>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</si>
  <si>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</si>
  <si>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</si>
  <si>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</si>
  <si>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</si>
  <si>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</si>
  <si>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</si>
  <si>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</si>
  <si>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</si>
  <si>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</si>
  <si>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</si>
  <si>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</si>
  <si>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</si>
  <si>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</si>
  <si>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</si>
  <si>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</si>
  <si>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</si>
  <si>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</si>
  <si>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</si>
  <si>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</si>
  <si>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</si>
  <si>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</si>
  <si>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</si>
  <si>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</si>
  <si>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</si>
  <si>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</si>
  <si>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</si>
  <si>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</si>
  <si>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</si>
  <si>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</si>
  <si>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</si>
  <si>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</si>
  <si>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</si>
  <si>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</si>
  <si>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</si>
  <si>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</si>
  <si>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</si>
  <si>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</si>
  <si>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</si>
  <si>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</si>
  <si>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</si>
  <si>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</si>
  <si>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</si>
  <si>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</si>
  <si>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</si>
  <si>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</si>
  <si>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</si>
  <si>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</si>
  <si>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</si>
  <si>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</si>
  <si>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</si>
  <si>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</si>
  <si>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</si>
  <si>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</si>
  <si>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</si>
  <si>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</si>
  <si>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</si>
  <si>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</si>
  <si>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</si>
  <si>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</si>
  <si>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</si>
  <si>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</si>
  <si>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</si>
  <si>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</si>
  <si>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</si>
  <si>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</si>
  <si>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</si>
  <si>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</si>
  <si>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</si>
  <si>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</si>
  <si>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</si>
  <si>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</si>
  <si>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</si>
  <si>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</si>
  <si>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</si>
  <si>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</si>
  <si>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</si>
  <si>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</si>
  <si>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</si>
  <si>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</si>
  <si>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</si>
  <si>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</si>
  <si>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</si>
  <si>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</si>
  <si>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</si>
  <si>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</si>
  <si>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</si>
  <si>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</si>
  <si>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</si>
  <si>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</si>
  <si>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</si>
  <si>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</si>
  <si>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</si>
  <si>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</si>
  <si>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</si>
  <si>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</si>
  <si>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</si>
  <si>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</si>
  <si>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</si>
  <si>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</si>
  <si>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</si>
  <si>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</si>
  <si>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</si>
  <si>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</si>
  <si>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</si>
  <si>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</si>
  <si>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</si>
  <si>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</si>
  <si>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</si>
  <si>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</si>
  <si>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</si>
  <si>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</si>
  <si>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</si>
  <si>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</si>
  <si>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</si>
  <si>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</si>
  <si>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</si>
  <si>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</si>
  <si>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</si>
  <si>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</si>
  <si>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</si>
  <si>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</si>
  <si>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</si>
  <si>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</si>
  <si>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</si>
  <si>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</si>
  <si>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</si>
  <si>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</si>
  <si>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</si>
  <si>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</si>
  <si>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</si>
  <si>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</si>
  <si>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</si>
  <si>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</si>
  <si>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</si>
  <si>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</si>
  <si>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</si>
  <si>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</si>
  <si>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</si>
  <si>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</si>
  <si>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</si>
  <si>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</si>
  <si>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</si>
  <si>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</si>
  <si>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</si>
  <si>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</si>
  <si>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</si>
  <si>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</si>
  <si>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</si>
  <si>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</si>
  <si>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</si>
  <si>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</si>
  <si>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</si>
  <si>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</si>
  <si>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</si>
  <si>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</si>
  <si>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</si>
  <si>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</si>
  <si>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</si>
  <si>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</si>
  <si>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</si>
  <si>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</si>
  <si>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</si>
  <si>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</si>
  <si>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</si>
  <si>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</si>
  <si>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</si>
  <si>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</si>
  <si>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</si>
  <si>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</si>
  <si>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</si>
  <si>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</si>
  <si>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</si>
  <si>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</si>
  <si>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</si>
  <si>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</si>
  <si>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</si>
  <si>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</si>
  <si>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</si>
  <si>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</si>
  <si>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</si>
  <si>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</si>
  <si>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</si>
  <si>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</si>
  <si>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</si>
  <si>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</si>
  <si>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</si>
  <si>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</si>
  <si>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</si>
  <si>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</si>
  <si>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</si>
  <si>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</si>
  <si>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</si>
  <si>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</si>
  <si>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</si>
  <si>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</si>
  <si>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</si>
  <si>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</si>
  <si>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</si>
  <si>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</si>
  <si>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</si>
  <si>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</si>
  <si>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</si>
  <si>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</si>
  <si>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</si>
  <si>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</si>
  <si>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</si>
  <si>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</si>
  <si>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</si>
  <si>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</si>
  <si>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</si>
  <si>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</si>
  <si>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</si>
  <si>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</si>
  <si>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</si>
  <si>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</si>
  <si>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</si>
  <si>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</si>
  <si>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</si>
  <si>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</si>
  <si>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</si>
  <si>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</si>
  <si>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</si>
  <si>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</si>
  <si>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</si>
  <si>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</si>
  <si>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</si>
  <si>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</si>
  <si>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</si>
  <si>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</si>
  <si>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</si>
  <si>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</si>
  <si>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</si>
  <si>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</si>
  <si>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</si>
  <si>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</si>
  <si>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</si>
  <si>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</si>
  <si>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</si>
  <si>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</si>
  <si>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</si>
  <si>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</si>
  <si>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</si>
  <si>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</si>
  <si>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</si>
  <si>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</si>
  <si>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</si>
  <si>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</si>
  <si>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</si>
  <si>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</si>
  <si>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</si>
  <si>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</si>
  <si>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</si>
  <si>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</si>
  <si>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</si>
  <si>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</si>
  <si>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</si>
  <si>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</si>
  <si>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</si>
  <si>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</si>
  <si>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</si>
  <si>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</si>
  <si>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</si>
  <si>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</si>
  <si>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</si>
  <si>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</si>
  <si>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</si>
  <si>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</si>
  <si>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</si>
  <si>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</si>
  <si>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</si>
  <si>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</si>
  <si>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</si>
  <si>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</si>
  <si>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</si>
  <si>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</si>
  <si>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</si>
  <si>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</si>
  <si>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</si>
  <si>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</si>
  <si>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</si>
  <si>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</si>
  <si>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</si>
  <si>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</si>
  <si>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</si>
  <si>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</si>
  <si>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</si>
  <si>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</si>
  <si>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</si>
  <si>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</si>
  <si>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</si>
  <si>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</si>
  <si>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</si>
  <si>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</si>
  <si>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</si>
  <si>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</si>
  <si>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</si>
  <si>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</si>
  <si>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</si>
  <si>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</si>
  <si>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</si>
  <si>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</si>
  <si>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</si>
  <si>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</si>
  <si>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</si>
  <si>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</si>
  <si>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</si>
  <si>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</si>
  <si>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</si>
  <si>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</si>
  <si>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</si>
  <si>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</si>
  <si>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</si>
  <si>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</si>
  <si>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</si>
  <si>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</si>
  <si>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</si>
  <si>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</si>
  <si>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</si>
  <si>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</si>
  <si>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</si>
  <si>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</si>
  <si>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</si>
  <si>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</si>
  <si>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</si>
  <si>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</si>
  <si>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</si>
  <si>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</si>
  <si>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</si>
  <si>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</si>
  <si>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</si>
  <si>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</si>
  <si>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</si>
  <si>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</si>
  <si>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</si>
  <si>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</si>
  <si>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</si>
  <si>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</si>
  <si>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</si>
  <si>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</si>
  <si>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</si>
  <si>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</si>
  <si>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</si>
  <si>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</si>
  <si>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</si>
  <si>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</si>
  <si>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</si>
  <si>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</si>
  <si>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</si>
  <si>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</si>
  <si>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</si>
  <si>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</si>
  <si>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</si>
  <si>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</si>
  <si>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</si>
  <si>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</si>
  <si>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</si>
  <si>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</si>
  <si>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</si>
  <si>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</si>
  <si>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</si>
  <si>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</si>
  <si>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</si>
  <si>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</si>
  <si>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</si>
  <si>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</si>
  <si>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</si>
  <si>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</si>
  <si>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</si>
  <si>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</si>
  <si>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</si>
  <si>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</si>
  <si>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</si>
  <si>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</si>
  <si>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</si>
  <si>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</si>
  <si>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</si>
  <si>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</si>
  <si>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</si>
  <si>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</si>
  <si>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</si>
  <si>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</si>
  <si>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</si>
  <si>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</si>
  <si>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</si>
  <si>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</si>
  <si>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</si>
  <si>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</si>
  <si>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</si>
  <si>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</si>
  <si>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</si>
  <si>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</si>
  <si>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</si>
  <si>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</si>
  <si>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</si>
  <si>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</si>
  <si>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</si>
  <si>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</si>
  <si>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</si>
  <si>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</si>
  <si>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</si>
  <si>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</si>
  <si>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</si>
  <si>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</si>
  <si>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</si>
  <si>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</si>
  <si>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</si>
  <si>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</si>
  <si>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</si>
  <si>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</si>
  <si>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</si>
  <si>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</si>
  <si>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</si>
  <si>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</si>
  <si>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</si>
  <si>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</si>
  <si>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</si>
  <si>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</si>
  <si>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</si>
  <si>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</si>
  <si>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</si>
  <si>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</si>
  <si>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</si>
  <si>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</si>
  <si>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</si>
  <si>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</si>
  <si>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</si>
  <si>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</si>
  <si>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</si>
  <si>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</si>
  <si>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</si>
  <si>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</si>
  <si>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</si>
  <si>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</si>
  <si>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</si>
  <si>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</si>
  <si>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</si>
  <si>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</si>
  <si>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</si>
  <si>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</si>
  <si>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</si>
  <si>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</si>
  <si>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</si>
  <si>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</si>
  <si>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</si>
  <si>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</si>
  <si>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</si>
  <si>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</si>
  <si>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</si>
  <si>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</si>
  <si>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</si>
  <si>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</si>
  <si>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</si>
  <si>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</si>
  <si>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</si>
  <si>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</si>
  <si>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</si>
  <si>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</si>
  <si>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</si>
  <si>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</si>
  <si>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</si>
  <si>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</si>
  <si>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</si>
  <si>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</si>
  <si>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</si>
  <si>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</si>
  <si>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</si>
  <si>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</si>
  <si>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</si>
  <si>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</si>
  <si>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</si>
  <si>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</si>
  <si>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</si>
  <si>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</si>
  <si>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</si>
  <si>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</si>
  <si>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</si>
  <si>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</si>
  <si>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</si>
  <si>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</si>
  <si>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</si>
  <si>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</si>
  <si>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</si>
  <si>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</si>
  <si>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</si>
  <si>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</si>
  <si>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</si>
  <si>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</si>
  <si>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</si>
  <si>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</si>
  <si>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</si>
  <si>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</si>
  <si>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</si>
  <si>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</si>
  <si>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</si>
  <si>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</si>
  <si>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</si>
  <si>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</si>
  <si>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</si>
  <si>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</si>
  <si>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</si>
  <si>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</si>
  <si>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</si>
  <si>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</si>
  <si>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</si>
  <si>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</si>
  <si>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</si>
  <si>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</si>
  <si>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</si>
  <si>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</si>
  <si>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</si>
  <si>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</si>
  <si>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</si>
  <si>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</si>
  <si>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</si>
  <si>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</si>
  <si>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</si>
  <si>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</si>
  <si>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</si>
  <si>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</si>
  <si>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</si>
  <si>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</si>
  <si>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</si>
  <si>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</si>
  <si>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</si>
  <si>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</si>
  <si>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</si>
  <si>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</si>
  <si>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</si>
  <si>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</si>
  <si>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</si>
  <si>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</si>
  <si>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</si>
  <si>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</si>
  <si>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</si>
  <si>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</si>
  <si>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</si>
  <si>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</si>
  <si>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</si>
  <si>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</si>
  <si>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</si>
  <si>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</si>
  <si>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</si>
  <si>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</si>
  <si>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</si>
  <si>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</si>
  <si>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</si>
  <si>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</si>
  <si>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</si>
  <si>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</si>
  <si>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</si>
  <si>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</si>
  <si>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</si>
  <si>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</si>
  <si>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</si>
  <si>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</si>
  <si>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</si>
  <si>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</si>
  <si>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</si>
  <si>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</si>
  <si>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</si>
  <si>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</si>
  <si>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</si>
  <si>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</si>
  <si>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</si>
  <si>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</si>
  <si>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</si>
  <si>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</si>
  <si>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</si>
  <si>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</si>
  <si>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</si>
  <si>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</si>
  <si>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</si>
  <si>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</si>
  <si>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</si>
  <si>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</si>
  <si>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</si>
  <si>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</si>
  <si>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</si>
  <si>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</si>
  <si>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</si>
  <si>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</si>
  <si>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</si>
  <si>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</si>
  <si>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</si>
  <si>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</si>
  <si>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</si>
  <si>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</si>
  <si>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</si>
  <si>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</si>
  <si>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</si>
  <si>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</si>
  <si>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</si>
  <si>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</si>
  <si>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</si>
  <si>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</si>
  <si>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</si>
  <si>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</si>
  <si>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</si>
  <si>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</si>
  <si>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</si>
  <si>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</si>
  <si>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</si>
  <si>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</si>
  <si>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</si>
  <si>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</si>
  <si>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</si>
  <si>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</si>
  <si>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</si>
  <si>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</si>
  <si>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</si>
  <si>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</si>
  <si>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</si>
  <si>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</si>
  <si>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</si>
  <si>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</si>
  <si>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</si>
  <si>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</si>
  <si>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</si>
  <si>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</si>
  <si>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</si>
  <si>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</si>
  <si>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</si>
  <si>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</si>
  <si>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</si>
  <si>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</si>
  <si>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</si>
  <si>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</si>
  <si>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</si>
  <si>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</si>
  <si>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</si>
  <si>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</si>
  <si>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</si>
  <si>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</si>
  <si>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</si>
  <si>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</si>
  <si>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</si>
  <si>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</si>
  <si>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</si>
  <si>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</si>
  <si>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</si>
  <si>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</si>
  <si>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</si>
  <si>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</si>
  <si>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</si>
  <si>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</si>
  <si>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</si>
  <si>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</si>
  <si>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</si>
  <si>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</si>
  <si>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</si>
  <si>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</si>
  <si>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</si>
  <si>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</si>
  <si>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</si>
  <si>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</si>
  <si>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</si>
  <si>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</si>
  <si>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</si>
  <si>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</si>
  <si>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</si>
  <si>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</si>
  <si>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</si>
  <si>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</si>
  <si>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</si>
  <si>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</si>
  <si>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</si>
  <si>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</si>
  <si>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</si>
  <si>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</si>
  <si>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</si>
  <si>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</si>
  <si>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</si>
  <si>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</si>
  <si>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</si>
  <si>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</si>
  <si>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</si>
  <si>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</si>
  <si>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</si>
  <si>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</si>
  <si>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</si>
  <si>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</si>
  <si>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</si>
  <si>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</si>
  <si>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</si>
  <si>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</si>
  <si>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</si>
  <si>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</si>
  <si>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</si>
  <si>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</si>
  <si>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</si>
  <si>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</si>
  <si>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</si>
  <si>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</si>
  <si>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</si>
  <si>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</si>
  <si>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</si>
  <si>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</si>
  <si>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</si>
  <si>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</si>
  <si>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</si>
  <si>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</si>
  <si>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</si>
  <si>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</si>
  <si>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</si>
  <si>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</si>
  <si>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</si>
  <si>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</si>
  <si>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</si>
  <si>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</si>
  <si>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</si>
  <si>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</si>
  <si>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</si>
  <si>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</si>
  <si>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</si>
  <si>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</si>
  <si>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</si>
  <si>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</si>
  <si>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</si>
  <si>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</si>
  <si>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</si>
  <si>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</si>
  <si>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</si>
  <si>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</si>
  <si>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</si>
  <si>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</si>
  <si>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</si>
  <si>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</si>
  <si>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</si>
  <si>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</si>
  <si>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</si>
  <si>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</si>
  <si>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</si>
  <si>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</si>
  <si>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</si>
  <si>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</si>
  <si>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</si>
  <si>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</si>
  <si>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</si>
  <si>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</si>
  <si>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</si>
  <si>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</si>
  <si>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</si>
  <si>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</si>
  <si>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</si>
  <si>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</si>
  <si>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</si>
  <si>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</si>
  <si>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</si>
  <si>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</si>
  <si>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</si>
  <si>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</si>
  <si>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</si>
  <si>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</si>
  <si>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</si>
  <si>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</si>
  <si>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</si>
  <si>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</si>
  <si>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</si>
  <si>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</si>
  <si>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</si>
  <si>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</si>
  <si>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</si>
  <si>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</si>
  <si>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</si>
  <si>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</si>
  <si>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</si>
  <si>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</si>
  <si>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</si>
  <si>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</si>
  <si>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</si>
  <si>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</si>
  <si>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</si>
  <si>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</si>
  <si>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</si>
  <si>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</si>
  <si>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</si>
  <si>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</si>
  <si>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</si>
  <si>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</si>
  <si>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</si>
  <si>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</si>
  <si>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</si>
  <si>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</si>
  <si>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</si>
  <si>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</si>
  <si>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</si>
  <si>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</si>
  <si>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</si>
  <si>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</si>
  <si>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</si>
  <si>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</si>
  <si>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</si>
  <si>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</si>
  <si>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</si>
  <si>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</si>
  <si>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</si>
  <si>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</si>
  <si>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</si>
  <si>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</si>
  <si>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</si>
  <si>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</si>
  <si>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</si>
  <si>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</si>
  <si>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</si>
  <si>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</si>
  <si>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</si>
  <si>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</si>
  <si>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</si>
  <si>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</si>
  <si>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</si>
  <si>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</si>
  <si>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</si>
  <si>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</si>
  <si>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</si>
  <si>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</si>
  <si>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</si>
  <si>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</si>
  <si>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</si>
  <si>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</si>
  <si>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</si>
  <si>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</si>
  <si>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</si>
  <si>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</si>
  <si>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</si>
  <si>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</si>
  <si>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</si>
  <si>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</si>
  <si>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</si>
  <si>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</si>
  <si>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</si>
  <si>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</si>
  <si>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</si>
  <si>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</si>
  <si>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</si>
  <si>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</si>
  <si>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</si>
  <si>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</si>
  <si>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</si>
  <si>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</si>
  <si>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</si>
  <si>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</si>
  <si>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</si>
  <si>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</si>
  <si>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</si>
  <si>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</si>
  <si>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</si>
  <si>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</si>
  <si>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</si>
  <si>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</si>
  <si>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</si>
  <si>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</si>
  <si>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</si>
  <si>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</si>
  <si>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</si>
  <si>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</si>
  <si>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</si>
  <si>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</si>
  <si>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</si>
  <si>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</si>
  <si>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</si>
  <si>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</si>
  <si>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</si>
  <si>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</si>
  <si>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</si>
  <si>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</si>
  <si>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</si>
  <si>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</si>
  <si>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</si>
  <si>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</si>
  <si>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</si>
  <si>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</si>
  <si>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</si>
  <si>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</si>
  <si>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</si>
  <si>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</si>
  <si>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</si>
  <si>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</si>
  <si>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</si>
  <si>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</si>
  <si>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</si>
  <si>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</si>
  <si>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</si>
  <si>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</si>
  <si>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</si>
  <si>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</si>
  <si>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</si>
  <si>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</si>
  <si>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</si>
  <si>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</si>
  <si>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</si>
  <si>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</si>
  <si>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</si>
  <si>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</si>
  <si>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</si>
  <si>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</si>
  <si>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</si>
  <si>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</si>
  <si>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</si>
  <si>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</si>
  <si>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</si>
  <si>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</si>
  <si>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</si>
  <si>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</si>
  <si>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</si>
  <si>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</si>
  <si>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</si>
  <si>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</si>
  <si>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</si>
  <si>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</si>
  <si>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</si>
  <si>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</si>
  <si>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</si>
  <si>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</si>
  <si>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</si>
  <si>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</si>
  <si>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</si>
  <si>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</si>
  <si>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</si>
  <si>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</si>
  <si>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</si>
  <si>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</si>
  <si>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</si>
  <si>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</si>
  <si>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</si>
  <si>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</si>
  <si>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</si>
  <si>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</si>
  <si>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</si>
  <si>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</si>
  <si>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</si>
  <si>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</si>
  <si>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</si>
  <si>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</si>
  <si>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</si>
  <si>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</si>
  <si>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</si>
  <si>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</si>
  <si>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</si>
  <si>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</si>
  <si>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</si>
  <si>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</si>
  <si>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</si>
  <si>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</si>
  <si>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</si>
  <si>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</si>
  <si>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</si>
  <si>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</si>
  <si>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</si>
  <si>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</si>
  <si>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</si>
  <si>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</si>
  <si>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</si>
  <si>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</si>
  <si>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</si>
  <si>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</si>
  <si>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</si>
  <si>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</si>
  <si>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</si>
  <si>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</si>
  <si>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</si>
  <si>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</si>
  <si>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</si>
  <si>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</si>
  <si>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</si>
  <si>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</si>
  <si>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</si>
  <si>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</si>
  <si>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</si>
  <si>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</si>
  <si>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</si>
  <si>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</si>
  <si>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</si>
  <si>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</si>
  <si>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</si>
  <si>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</si>
  <si>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</si>
  <si>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</si>
  <si>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</si>
  <si>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</si>
  <si>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</si>
  <si>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</si>
  <si>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</si>
  <si>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</si>
  <si>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</si>
  <si>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</si>
  <si>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</si>
  <si>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</si>
  <si>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</si>
  <si>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</si>
  <si>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</si>
  <si>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</si>
  <si>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</si>
  <si>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</si>
  <si>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</si>
  <si>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</si>
  <si>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</si>
  <si>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</si>
  <si>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</si>
  <si>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</si>
  <si>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</si>
  <si>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</si>
  <si>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</si>
  <si>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</si>
  <si>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</si>
  <si>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</si>
  <si>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</si>
  <si>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</si>
  <si>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</si>
  <si>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</si>
  <si>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</si>
  <si>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</si>
  <si>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</si>
  <si>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</si>
  <si>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</si>
  <si>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</si>
  <si>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</si>
  <si>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</si>
  <si>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</si>
  <si>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</si>
  <si>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</si>
  <si>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</si>
  <si>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</si>
  <si>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</si>
  <si>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</si>
  <si>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</si>
  <si>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</si>
  <si>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</si>
  <si>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</si>
  <si>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</si>
  <si>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</si>
  <si>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</si>
  <si>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</si>
  <si>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</si>
  <si>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</si>
  <si>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</si>
  <si>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</si>
  <si>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</si>
  <si>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</si>
  <si>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</si>
  <si>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</si>
  <si>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</si>
  <si>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</si>
  <si>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</si>
  <si>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</si>
  <si>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</si>
  <si>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</si>
  <si>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</si>
  <si>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</si>
  <si>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</si>
  <si>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</si>
  <si>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</si>
  <si>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</si>
  <si>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</si>
  <si>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</si>
  <si>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</si>
  <si>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</si>
  <si>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</si>
  <si>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</si>
  <si>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</si>
  <si>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</si>
  <si>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</si>
  <si>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</si>
  <si>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</si>
  <si>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</si>
  <si>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</si>
  <si>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</si>
  <si>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</si>
  <si>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</si>
  <si>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</si>
  <si>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</si>
  <si>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</si>
  <si>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</si>
  <si>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</si>
  <si>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</si>
  <si>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</si>
  <si>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</si>
  <si>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</si>
  <si>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</si>
  <si>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</si>
  <si>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</si>
  <si>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</si>
  <si>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</si>
  <si>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</si>
  <si>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</si>
  <si>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</si>
  <si>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</si>
  <si>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</si>
  <si>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</si>
  <si>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</si>
  <si>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</si>
  <si>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</si>
  <si>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</si>
  <si>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</si>
  <si>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</si>
  <si>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</si>
  <si>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</si>
  <si>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</si>
  <si>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</si>
  <si>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</si>
  <si>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</si>
  <si>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</si>
  <si>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</si>
  <si>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</si>
  <si>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</si>
  <si>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</si>
  <si>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</si>
  <si>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</si>
  <si>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</si>
  <si>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</si>
  <si>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</si>
  <si>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</si>
  <si>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</si>
  <si>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</si>
  <si>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</si>
  <si>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</si>
  <si>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</si>
  <si>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</si>
  <si>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</si>
  <si>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</si>
  <si>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</si>
  <si>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</si>
  <si>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</si>
  <si>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</si>
  <si>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</si>
  <si>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</si>
  <si>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</si>
  <si>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</si>
  <si>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</si>
  <si>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</si>
  <si>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</si>
  <si>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</si>
  <si>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</si>
  <si>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</si>
  <si>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</si>
  <si>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</si>
  <si>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</si>
  <si>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</si>
  <si>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</si>
  <si>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</si>
  <si>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</si>
  <si>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</si>
  <si>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</si>
  <si>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</si>
  <si>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</si>
  <si>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</si>
  <si>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</si>
  <si>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</si>
  <si>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</si>
  <si>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</si>
  <si>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</si>
  <si>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</si>
  <si>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</si>
  <si>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</si>
  <si>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</si>
  <si>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</si>
  <si>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</si>
  <si>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</si>
  <si>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</si>
  <si>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</si>
  <si>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</si>
  <si>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</si>
  <si>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</si>
  <si>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</si>
  <si>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</si>
  <si>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</si>
  <si>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</si>
  <si>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</si>
  <si>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</si>
  <si>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</si>
  <si>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</si>
  <si>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</si>
  <si>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</si>
  <si>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</si>
  <si>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</si>
  <si>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</si>
  <si>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</si>
  <si>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</si>
  <si>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</si>
  <si>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</si>
  <si>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</si>
  <si>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</si>
  <si>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</si>
  <si>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</si>
  <si>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</si>
  <si>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</si>
  <si>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</si>
  <si>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</si>
  <si>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</si>
  <si>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</si>
  <si>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</si>
  <si>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</si>
  <si>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</si>
  <si>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</si>
  <si>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</si>
  <si>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</si>
  <si>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</si>
  <si>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</si>
  <si>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</si>
  <si>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</si>
  <si>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</si>
  <si>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</si>
  <si>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</si>
  <si>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</si>
  <si>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</si>
  <si>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</si>
  <si>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</si>
  <si>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</si>
  <si>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</si>
  <si>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</si>
  <si>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</si>
  <si>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</si>
  <si>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</si>
  <si>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</si>
  <si>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</si>
  <si>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</si>
  <si>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</si>
  <si>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</si>
  <si>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</si>
  <si>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</si>
  <si>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</si>
  <si>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</si>
  <si>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</si>
  <si>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</si>
  <si>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</si>
  <si>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</si>
  <si>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</si>
  <si>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</si>
  <si>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</si>
  <si>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</si>
  <si>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</si>
  <si>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</si>
  <si>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</si>
  <si>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</si>
  <si>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</si>
  <si>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</si>
  <si>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</si>
  <si>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</si>
  <si>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</si>
  <si>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</si>
  <si>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</si>
  <si>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</si>
  <si>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</si>
  <si>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</si>
  <si>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</si>
  <si>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</si>
  <si>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</si>
  <si>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</si>
  <si>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</si>
  <si>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</si>
  <si>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</si>
  <si>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</si>
  <si>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</si>
  <si>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</si>
  <si>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</si>
  <si>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</si>
  <si>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</si>
  <si>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</si>
  <si>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</si>
  <si>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</si>
  <si>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</si>
  <si>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</si>
  <si>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</si>
  <si>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</si>
  <si>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</si>
  <si>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</si>
  <si>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</si>
  <si>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</si>
  <si>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</si>
  <si>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</si>
  <si>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</si>
  <si>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</si>
  <si>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</si>
  <si>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</si>
  <si>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</si>
  <si>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</si>
  <si>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</si>
  <si>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</si>
  <si>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</si>
  <si>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</si>
  <si>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</si>
  <si>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</si>
  <si>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</si>
  <si>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</si>
  <si>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</si>
  <si>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</si>
  <si>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</si>
  <si>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</si>
  <si>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</si>
  <si>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</si>
  <si>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</si>
  <si>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</si>
  <si>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</si>
  <si>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</si>
  <si>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</si>
  <si>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</si>
  <si>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</si>
  <si>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</si>
  <si>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</si>
  <si>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</si>
  <si>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</si>
  <si>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</si>
  <si>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</si>
  <si>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</si>
  <si>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</si>
  <si>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</si>
  <si>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</si>
  <si>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</si>
  <si>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</si>
  <si>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</si>
  <si>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</si>
  <si>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</si>
  <si>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</si>
  <si>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</si>
  <si>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</si>
  <si>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</si>
  <si>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</si>
  <si>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</si>
  <si>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</si>
  <si>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</si>
  <si>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</si>
  <si>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</si>
  <si>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</si>
  <si>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</si>
  <si>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</si>
  <si>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</si>
  <si>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</si>
  <si>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</si>
  <si>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</si>
  <si>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</si>
  <si>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</si>
  <si>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</si>
  <si>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</si>
  <si>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</si>
  <si>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</si>
  <si>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</si>
  <si>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</si>
  <si>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</si>
  <si>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</si>
  <si>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</si>
  <si>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</si>
  <si>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</si>
  <si>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</si>
  <si>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</si>
  <si>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</si>
  <si>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</si>
  <si>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</si>
  <si>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</si>
  <si>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</si>
  <si>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</si>
  <si>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</si>
  <si>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</si>
  <si>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</si>
  <si>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</si>
  <si>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</si>
  <si>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</si>
  <si>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</si>
  <si>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</si>
  <si>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</si>
  <si>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</si>
  <si>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</si>
  <si>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</si>
  <si>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</si>
  <si>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</si>
  <si>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</si>
  <si>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</si>
  <si>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</si>
  <si>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</si>
  <si>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</si>
  <si>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</si>
  <si>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</si>
  <si>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</si>
  <si>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</si>
  <si>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</si>
  <si>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</si>
  <si>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</si>
  <si>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</si>
  <si>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</si>
  <si>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</si>
  <si>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</si>
  <si>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</si>
  <si>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</si>
  <si>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</si>
  <si>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</si>
  <si>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</si>
  <si>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</si>
  <si>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</si>
  <si>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</si>
  <si>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</si>
  <si>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</si>
  <si>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</si>
  <si>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</si>
  <si>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</si>
  <si>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</si>
  <si>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</si>
  <si>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</si>
  <si>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</si>
  <si>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</si>
  <si>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</si>
  <si>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</si>
  <si>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</si>
  <si>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</si>
  <si>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</si>
  <si>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</si>
  <si>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</si>
  <si>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</si>
  <si>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</si>
  <si>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</si>
  <si>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</si>
  <si>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</si>
  <si>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</si>
  <si>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</si>
  <si>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</si>
  <si>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</si>
  <si>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</si>
  <si>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</si>
  <si>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</si>
  <si>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</si>
  <si>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</si>
  <si>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</si>
  <si>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</si>
  <si>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</si>
  <si>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</si>
  <si>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</si>
  <si>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</si>
  <si>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</si>
  <si>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</si>
  <si>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</si>
  <si>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</si>
  <si>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</si>
  <si>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</si>
  <si>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</si>
  <si>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</si>
  <si>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</si>
  <si>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</si>
  <si>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</si>
  <si>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</si>
  <si>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</si>
  <si>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</si>
  <si>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</si>
  <si>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</si>
  <si>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</si>
  <si>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</si>
  <si>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</si>
  <si>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</si>
  <si>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</si>
  <si>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</si>
  <si>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</si>
  <si>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</si>
  <si>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</si>
  <si>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</si>
  <si>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</si>
  <si>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</si>
  <si>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</si>
  <si>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</si>
  <si>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</si>
  <si>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</si>
  <si>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</si>
  <si>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</si>
  <si>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</si>
  <si>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</si>
  <si>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</si>
  <si>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</si>
  <si>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</si>
  <si>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</si>
  <si>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</si>
  <si>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</si>
  <si>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</si>
  <si>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</si>
  <si>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</si>
  <si>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</si>
  <si>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</si>
  <si>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</si>
  <si>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</si>
  <si>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</si>
  <si>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</si>
  <si>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</si>
  <si>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</si>
  <si>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</si>
  <si>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</si>
  <si>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</si>
  <si>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</si>
  <si>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</si>
  <si>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</si>
  <si>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</si>
  <si>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</si>
  <si>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</si>
  <si>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</si>
  <si>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</si>
  <si>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</si>
  <si>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</si>
  <si>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</si>
  <si>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</si>
  <si>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</si>
  <si>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</si>
  <si>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</si>
  <si>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</si>
  <si>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</si>
  <si>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</si>
  <si>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</si>
  <si>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</si>
  <si>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</si>
  <si>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</si>
  <si>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</si>
  <si>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</si>
  <si>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</si>
  <si>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</si>
  <si>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</si>
  <si>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</si>
  <si>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</si>
  <si>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</si>
  <si>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</si>
  <si>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</si>
  <si>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</si>
  <si>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</si>
  <si>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</si>
  <si>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</si>
  <si>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</si>
  <si>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</si>
  <si>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</si>
  <si>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</si>
  <si>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</si>
  <si>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</si>
  <si>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</si>
  <si>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</si>
  <si>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</si>
  <si>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</si>
  <si>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</si>
  <si>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</si>
  <si>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</si>
  <si>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</si>
  <si>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</si>
  <si>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</si>
  <si>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</si>
  <si>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</si>
  <si>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</si>
  <si>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</si>
  <si>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</si>
  <si>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</si>
  <si>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</si>
  <si>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</si>
  <si>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</si>
  <si>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</si>
  <si>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</si>
  <si>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</si>
  <si>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</si>
  <si>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</si>
  <si>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</si>
  <si>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</si>
  <si>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</si>
  <si>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</si>
  <si>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</si>
  <si>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</si>
  <si>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</si>
  <si>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</si>
  <si>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</si>
  <si>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</si>
  <si>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</si>
  <si>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</si>
  <si>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</si>
  <si>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</si>
  <si>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</si>
  <si>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</si>
  <si>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</si>
  <si>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</si>
  <si>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</si>
  <si>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</si>
  <si>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</si>
  <si>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</si>
  <si>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</si>
  <si>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</si>
  <si>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</si>
  <si>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</si>
  <si>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</si>
  <si>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</si>
  <si>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</si>
  <si>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</si>
  <si>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</si>
  <si>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</si>
  <si>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</si>
  <si>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</si>
  <si>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</si>
  <si>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</si>
  <si>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</si>
  <si>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</si>
  <si>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</si>
  <si>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</si>
  <si>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</si>
  <si>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</si>
  <si>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</si>
  <si>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</si>
  <si>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</si>
  <si>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</si>
  <si>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</si>
  <si>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</si>
  <si>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</si>
  <si>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</si>
  <si>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</si>
  <si>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</si>
  <si>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</si>
  <si>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</si>
  <si>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</si>
  <si>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</si>
  <si>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</si>
  <si>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</si>
  <si>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</si>
  <si>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</si>
  <si>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</si>
  <si>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</si>
  <si>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</si>
  <si>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</si>
  <si>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</si>
  <si>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</si>
  <si>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</si>
  <si>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</si>
  <si>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</si>
  <si>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</si>
  <si>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</si>
  <si>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</si>
  <si>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</si>
  <si>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</si>
  <si>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</si>
  <si>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</si>
  <si>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</si>
  <si>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</si>
  <si>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</si>
  <si>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</si>
  <si>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</si>
  <si>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</si>
  <si>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</si>
  <si>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</si>
  <si>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</si>
  <si>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</si>
  <si>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</si>
  <si>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</si>
  <si>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</si>
  <si>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</si>
  <si>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</si>
  <si>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</si>
  <si>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</si>
  <si>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</si>
  <si>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</si>
  <si>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</si>
  <si>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</si>
  <si>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</si>
  <si>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</si>
  <si>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</si>
  <si>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</si>
  <si>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</si>
  <si>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</si>
  <si>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</si>
  <si>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</si>
  <si>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</si>
  <si>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</si>
  <si>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</si>
  <si>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</si>
  <si>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</si>
  <si>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</si>
  <si>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</si>
  <si>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</si>
  <si>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</si>
  <si>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</si>
  <si>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</si>
  <si>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</si>
  <si>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</si>
  <si>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</si>
  <si>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</si>
  <si>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</si>
  <si>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</si>
  <si>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</si>
  <si>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</si>
  <si>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</si>
  <si>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</si>
  <si>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</si>
  <si>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</si>
  <si>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</si>
  <si>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</si>
  <si>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</si>
  <si>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</si>
  <si>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</si>
  <si>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</si>
  <si>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</si>
  <si>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</si>
  <si>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</si>
  <si>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</si>
  <si>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</si>
  <si>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</si>
  <si>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</si>
  <si>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</si>
  <si>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</si>
  <si>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</si>
  <si>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</si>
  <si>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</si>
  <si>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</si>
  <si>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</si>
  <si>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</si>
  <si>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</si>
  <si>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</si>
  <si>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</si>
  <si>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</si>
  <si>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</si>
  <si>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</si>
  <si>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</si>
  <si>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</si>
  <si>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</si>
  <si>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</si>
  <si>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</si>
  <si>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</si>
  <si>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</si>
  <si>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</si>
  <si>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</si>
  <si>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</si>
  <si>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</si>
  <si>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</si>
  <si>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</si>
  <si>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</si>
  <si>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</si>
  <si>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</si>
  <si>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</si>
  <si>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</si>
  <si>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</si>
  <si>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</si>
  <si>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</si>
  <si>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</si>
  <si>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</si>
  <si>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</si>
  <si>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</si>
  <si>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</si>
  <si>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</si>
  <si>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</si>
  <si>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</si>
  <si>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</si>
  <si>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</si>
  <si>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</si>
  <si>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</si>
  <si>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</si>
  <si>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</si>
  <si>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</si>
  <si>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</si>
  <si>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</si>
  <si>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</si>
  <si>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</si>
  <si>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</si>
  <si>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</si>
  <si>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</si>
  <si>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</si>
  <si>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</si>
  <si>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</si>
  <si>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</si>
  <si>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</si>
  <si>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</si>
  <si>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</si>
  <si>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</si>
  <si>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</si>
  <si>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</si>
  <si>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</si>
  <si>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</si>
  <si>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</si>
  <si>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</si>
  <si>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</si>
  <si>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</si>
  <si>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</si>
  <si>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</si>
  <si>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</si>
  <si>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</si>
  <si>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</si>
  <si>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</si>
  <si>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</si>
  <si>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</si>
  <si>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</si>
  <si>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</si>
  <si>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</si>
  <si>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</si>
  <si>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</si>
  <si>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</si>
  <si>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</si>
  <si>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</si>
  <si>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</si>
  <si>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</si>
  <si>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</si>
  <si>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</si>
  <si>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</si>
  <si>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</si>
  <si>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</si>
  <si>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</si>
  <si>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</si>
  <si>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</si>
  <si>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</si>
  <si>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</si>
  <si>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</si>
  <si>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</si>
  <si>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</si>
  <si>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</si>
  <si>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</si>
  <si>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</si>
  <si>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</si>
  <si>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</si>
  <si>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</si>
  <si>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</si>
  <si>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</si>
  <si>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</si>
  <si>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</si>
  <si>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</si>
  <si>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</si>
  <si>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</si>
  <si>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</si>
  <si>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</si>
  <si>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</si>
  <si>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</si>
  <si>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</si>
  <si>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</si>
  <si>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</si>
  <si>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</si>
  <si>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</si>
  <si>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</si>
  <si>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</si>
  <si>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</si>
  <si>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</si>
  <si>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</si>
  <si>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</si>
  <si>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</si>
  <si>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</si>
  <si>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</si>
  <si>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</si>
  <si>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</si>
  <si>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</si>
  <si>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</si>
  <si>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</si>
  <si>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</si>
  <si>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</si>
  <si>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</si>
  <si>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</si>
  <si>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</si>
  <si>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</si>
  <si>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</si>
  <si>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</si>
  <si>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</si>
  <si>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</si>
  <si>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</si>
  <si>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</si>
  <si>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</si>
  <si>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</si>
  <si>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</si>
  <si>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</si>
  <si>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</si>
  <si>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</si>
  <si>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</si>
  <si>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</si>
  <si>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</si>
  <si>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</si>
  <si>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</si>
  <si>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</si>
  <si>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</si>
  <si>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</si>
  <si>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</si>
  <si>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</si>
  <si>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</si>
  <si>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</si>
  <si>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</si>
  <si>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</si>
  <si>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</si>
  <si>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</si>
  <si>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</si>
  <si>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</si>
  <si>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</si>
  <si>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</si>
  <si>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</si>
  <si>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</si>
  <si>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</si>
  <si>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</si>
  <si>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</si>
  <si>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</si>
  <si>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</si>
  <si>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</si>
  <si>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</si>
  <si>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</si>
  <si>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</si>
  <si>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</si>
  <si>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</si>
  <si>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</si>
  <si>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</si>
  <si>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</si>
  <si>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</si>
  <si>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</si>
  <si>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</si>
  <si>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</si>
  <si>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</si>
  <si>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</si>
  <si>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</si>
  <si>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</si>
  <si>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</si>
  <si>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</si>
  <si>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</si>
  <si>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</si>
  <si>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</si>
  <si>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</si>
  <si>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</si>
  <si>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</si>
  <si>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</si>
  <si>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</si>
  <si>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</si>
  <si>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</si>
  <si>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</si>
  <si>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</si>
  <si>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</si>
  <si>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</si>
  <si>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</si>
  <si>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</si>
  <si>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</si>
  <si>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</si>
  <si>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</si>
  <si>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</si>
  <si>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</si>
  <si>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</si>
  <si>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</si>
  <si>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</si>
  <si>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</si>
  <si>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</si>
  <si>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</si>
  <si>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</si>
  <si>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</si>
  <si>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</si>
  <si>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</si>
  <si>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</si>
  <si>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</si>
  <si>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</si>
  <si>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</si>
  <si>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</si>
  <si>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</si>
  <si>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</si>
  <si>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</si>
  <si>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</si>
  <si>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</si>
  <si>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</si>
  <si>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</si>
  <si>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</si>
  <si>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</si>
  <si>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</si>
  <si>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</si>
  <si>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</si>
  <si>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</si>
  <si>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</si>
  <si>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</si>
  <si>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</si>
  <si>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</si>
  <si>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</si>
  <si>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</si>
  <si>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</si>
  <si>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</si>
  <si>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</si>
  <si>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</si>
  <si>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</si>
  <si>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</si>
  <si>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</si>
  <si>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</si>
  <si>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</si>
  <si>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</si>
  <si>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</si>
  <si>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</si>
  <si>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</si>
  <si>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</si>
  <si>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</si>
  <si>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</si>
  <si>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</si>
  <si>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</si>
  <si>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</si>
  <si>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</si>
  <si>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</si>
  <si>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</si>
  <si>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</si>
  <si>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</si>
  <si>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</si>
  <si>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</si>
  <si>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</si>
  <si>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</si>
  <si>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</si>
  <si>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</si>
  <si>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</si>
  <si>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</si>
  <si>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</si>
  <si>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</si>
  <si>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</si>
  <si>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</si>
  <si>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</si>
  <si>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</si>
  <si>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</si>
  <si>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</si>
  <si>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</si>
  <si>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</si>
  <si>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</si>
  <si>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</si>
  <si>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</si>
  <si>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</si>
  <si>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</si>
  <si>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</si>
  <si>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</si>
  <si>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</si>
  <si>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</si>
  <si>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</si>
  <si>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</si>
  <si>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</si>
  <si>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</si>
  <si>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</si>
  <si>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</si>
  <si>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</si>
  <si>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</si>
  <si>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</si>
  <si>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</si>
  <si>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</si>
  <si>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</si>
  <si>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</si>
  <si>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</si>
  <si>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</si>
  <si>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</si>
  <si>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</si>
  <si>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</si>
  <si>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</si>
  <si>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</si>
  <si>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</si>
  <si>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</si>
  <si>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</si>
  <si>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</si>
  <si>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</si>
  <si>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</si>
  <si>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</si>
  <si>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</si>
  <si>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</si>
  <si>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</si>
  <si>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</si>
  <si>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</si>
  <si>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</si>
  <si>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</si>
  <si>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</si>
  <si>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</si>
  <si>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</si>
  <si>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</si>
  <si>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</si>
  <si>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</si>
  <si>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</si>
  <si>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</si>
  <si>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</si>
  <si>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</si>
  <si>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</si>
  <si>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</si>
  <si>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</si>
  <si>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</si>
  <si>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</si>
  <si>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</si>
  <si>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</si>
  <si>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</si>
  <si>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</si>
  <si>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</si>
  <si>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</si>
  <si>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</si>
  <si>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</si>
  <si>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</si>
  <si>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</si>
  <si>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</si>
  <si>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</si>
  <si>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</si>
  <si>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</si>
  <si>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</si>
  <si>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</si>
  <si>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</si>
  <si>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</si>
  <si>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</si>
  <si>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</si>
  <si>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</si>
  <si>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</si>
  <si>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</si>
  <si>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</si>
  <si>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</si>
  <si>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</si>
  <si>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</si>
  <si>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</si>
  <si>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</si>
  <si>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</si>
  <si>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</si>
  <si>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</si>
  <si>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</si>
  <si>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</si>
  <si>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</si>
  <si>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</si>
  <si>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</si>
  <si>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</si>
  <si>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</si>
  <si>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</si>
  <si>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</si>
  <si>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</si>
  <si>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</si>
  <si>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</si>
  <si>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</si>
  <si>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</si>
  <si>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</si>
  <si>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</si>
  <si>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</si>
  <si>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</si>
  <si>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</si>
  <si>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</si>
  <si>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</si>
  <si>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</si>
  <si>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</si>
  <si>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</si>
  <si>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</si>
  <si>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</si>
  <si>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</si>
  <si>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</si>
  <si>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</si>
  <si>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</si>
  <si>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</si>
  <si>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</si>
  <si>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</si>
  <si>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</si>
  <si>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</si>
  <si>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</si>
  <si>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</si>
  <si>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</si>
  <si>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</si>
  <si>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</si>
  <si>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</si>
  <si>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</si>
  <si>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</si>
  <si>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</si>
  <si>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</si>
  <si>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</si>
  <si>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</si>
  <si>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</si>
  <si>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</si>
  <si>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</si>
  <si>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</si>
  <si>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</si>
  <si>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</si>
  <si>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</si>
  <si>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</si>
  <si>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</si>
  <si>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</si>
  <si>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</si>
  <si>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</si>
  <si>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</si>
  <si>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</si>
  <si>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</si>
  <si>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</si>
  <si>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</si>
  <si>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</si>
  <si>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</si>
  <si>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</si>
  <si>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</si>
  <si>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</si>
  <si>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</si>
  <si>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</si>
  <si>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</si>
  <si>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</si>
  <si>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</si>
  <si>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</si>
  <si>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</si>
  <si>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</si>
  <si>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</si>
  <si>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</si>
  <si>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</si>
  <si>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</si>
  <si>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</si>
  <si>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</si>
  <si>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</si>
  <si>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</si>
  <si>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</si>
  <si>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</si>
  <si>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</si>
  <si>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</si>
  <si>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</si>
  <si>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</si>
  <si>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</si>
  <si>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</si>
  <si>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</si>
  <si>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</si>
  <si>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</si>
  <si>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</si>
  <si>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</si>
  <si>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</si>
  <si>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</si>
  <si>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</si>
  <si>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</si>
  <si>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</si>
  <si>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</si>
  <si>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</si>
  <si>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</si>
  <si>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</si>
  <si>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</si>
  <si>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</si>
  <si>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</si>
  <si>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</si>
  <si>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</si>
  <si>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</si>
  <si>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</si>
  <si>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</si>
  <si>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</si>
  <si>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</si>
  <si>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</si>
  <si>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</si>
  <si>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</si>
  <si>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</si>
  <si>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</si>
  <si>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</si>
  <si>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</si>
  <si>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</si>
  <si>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</si>
  <si>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</si>
  <si>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</si>
  <si>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</si>
  <si>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</si>
  <si>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</si>
  <si>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</si>
  <si>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</si>
  <si>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</si>
  <si>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</si>
  <si>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</si>
  <si>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</si>
  <si>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</si>
  <si>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</si>
  <si>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</si>
  <si>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</si>
  <si>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</si>
  <si>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</si>
  <si>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</si>
  <si>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</si>
  <si>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</si>
  <si>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</si>
  <si>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</si>
  <si>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</si>
  <si>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</si>
  <si>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</si>
  <si>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</si>
  <si>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</si>
  <si>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</si>
  <si>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</si>
  <si>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</si>
  <si>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</si>
  <si>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</si>
  <si>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</si>
  <si>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</si>
  <si>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</si>
  <si>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</si>
  <si>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</si>
  <si>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</si>
  <si>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</si>
  <si>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</si>
  <si>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</si>
  <si>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</si>
  <si>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</si>
  <si>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</si>
  <si>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</si>
  <si>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</si>
  <si>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</si>
  <si>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</si>
  <si>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</si>
  <si>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</si>
  <si>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</si>
  <si>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</si>
  <si>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</si>
  <si>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</si>
  <si>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</si>
  <si>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</si>
  <si>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</si>
  <si>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</si>
  <si>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</si>
  <si>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</si>
  <si>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</si>
  <si>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</si>
  <si>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</si>
  <si>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</si>
  <si>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</si>
  <si>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</si>
  <si>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</si>
  <si>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</si>
  <si>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</si>
  <si>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</si>
  <si>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</si>
  <si>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</si>
  <si>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</si>
  <si>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</si>
  <si>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</si>
  <si>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</si>
  <si>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</si>
  <si>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</si>
  <si>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</si>
  <si>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</si>
  <si>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</si>
  <si>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</si>
  <si>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</si>
  <si>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</si>
  <si>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</si>
  <si>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</si>
  <si>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</si>
  <si>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</si>
  <si>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</si>
  <si>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</si>
  <si>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</si>
  <si>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</si>
  <si>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</si>
  <si>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</si>
  <si>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</si>
  <si>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</si>
  <si>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</si>
  <si>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</si>
  <si>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</si>
  <si>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</si>
  <si>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</si>
  <si>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</si>
  <si>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</si>
  <si>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</si>
  <si>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</si>
  <si>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</si>
  <si>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</si>
  <si>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</si>
  <si>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</si>
  <si>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</si>
  <si>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</si>
  <si>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</si>
  <si>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</si>
  <si>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</si>
  <si>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</si>
  <si>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</si>
  <si>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</si>
  <si>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</si>
  <si>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</si>
  <si>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</si>
  <si>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</si>
  <si>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</si>
  <si>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</si>
  <si>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</si>
  <si>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</si>
  <si>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</si>
  <si>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</si>
  <si>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</si>
  <si>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</si>
  <si>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</si>
  <si>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</si>
  <si>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</si>
  <si>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</si>
  <si>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</si>
  <si>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</si>
  <si>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</si>
  <si>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</si>
  <si>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</si>
  <si>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</si>
  <si>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</si>
  <si>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</si>
  <si>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</si>
  <si>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</si>
  <si>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</si>
  <si>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</si>
  <si>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</si>
  <si>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</si>
  <si>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</si>
  <si>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</si>
  <si>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</si>
  <si>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</si>
  <si>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</si>
  <si>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</si>
  <si>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</si>
  <si>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</si>
  <si>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</si>
  <si>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</si>
  <si>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</si>
  <si>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</si>
  <si>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</si>
  <si>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</si>
  <si>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</si>
  <si>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</si>
  <si>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</si>
  <si>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</si>
  <si>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</si>
  <si>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</si>
  <si>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</si>
  <si>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</si>
  <si>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</si>
  <si>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</si>
  <si>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</si>
  <si>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</si>
  <si>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</si>
  <si>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</si>
  <si>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</si>
  <si>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</si>
  <si>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</si>
  <si>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</si>
  <si>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</si>
  <si>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</si>
  <si>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</si>
  <si>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</si>
  <si>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</si>
  <si>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</si>
  <si>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</si>
  <si>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</si>
  <si>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</si>
  <si>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</si>
  <si>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</si>
  <si>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</si>
  <si>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</si>
  <si>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</si>
  <si>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</si>
  <si>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</si>
  <si>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</si>
  <si>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</si>
  <si>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</si>
  <si>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</si>
  <si>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</si>
  <si>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</si>
  <si>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</si>
  <si>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</si>
  <si>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</si>
  <si>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</si>
  <si>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</si>
  <si>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</si>
  <si>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</si>
  <si>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</si>
  <si>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</si>
  <si>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</si>
  <si>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</si>
  <si>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</si>
  <si>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</si>
  <si>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</si>
  <si>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</si>
  <si>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</si>
  <si>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</si>
  <si>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</si>
  <si>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</si>
  <si>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</si>
  <si>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</si>
  <si>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</si>
  <si>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</si>
  <si>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</si>
  <si>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</si>
  <si>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</si>
  <si>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</si>
  <si>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</si>
  <si>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</si>
  <si>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</si>
  <si>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</si>
  <si>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</si>
  <si>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</si>
  <si>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</si>
  <si>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</si>
  <si>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</si>
  <si>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</si>
  <si>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</si>
  <si>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</si>
  <si>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</si>
  <si>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</si>
  <si>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</si>
  <si>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</si>
  <si>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</si>
  <si>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</si>
  <si>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</si>
  <si>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</si>
  <si>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</si>
  <si>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</si>
  <si>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</si>
  <si>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</si>
  <si>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</si>
  <si>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</si>
  <si>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</si>
  <si>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</si>
  <si>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</si>
  <si>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</si>
  <si>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</si>
  <si>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</si>
  <si>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</si>
  <si>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</si>
  <si>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</si>
  <si>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</si>
  <si>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</si>
  <si>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</si>
  <si>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</si>
  <si>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</si>
  <si>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</si>
  <si>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</si>
  <si>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</si>
  <si>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</si>
  <si>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</si>
  <si>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</si>
  <si>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</si>
  <si>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</si>
  <si>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</si>
  <si>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</si>
  <si>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</si>
  <si>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</si>
  <si>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</si>
  <si>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</si>
  <si>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</si>
  <si>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</si>
  <si>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</si>
  <si>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</si>
  <si>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</si>
  <si>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</si>
  <si>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</si>
  <si>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</si>
  <si>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</si>
  <si>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</si>
  <si>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</si>
  <si>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</si>
  <si>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</si>
  <si>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</si>
  <si>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</si>
  <si>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</si>
  <si>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</si>
  <si>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</si>
  <si>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</si>
  <si>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</si>
  <si>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</si>
  <si>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</si>
  <si>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</si>
  <si>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</si>
  <si>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</si>
  <si>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</si>
  <si>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</si>
  <si>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</si>
  <si>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</si>
  <si>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</si>
  <si>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</si>
  <si>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</si>
  <si>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</si>
  <si>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</si>
  <si>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</si>
  <si>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</si>
  <si>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</si>
  <si>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</si>
  <si>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</si>
  <si>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</si>
  <si>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</si>
  <si>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</si>
  <si>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</si>
  <si>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</si>
  <si>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</si>
  <si>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</si>
  <si>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</si>
  <si>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</si>
  <si>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</si>
  <si>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</si>
  <si>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</si>
  <si>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</si>
  <si>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</si>
  <si>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</si>
  <si>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</si>
  <si>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</si>
  <si>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</si>
  <si>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</si>
  <si>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</si>
  <si>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</si>
  <si>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</si>
  <si>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</si>
  <si>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</si>
  <si>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</si>
  <si>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</si>
  <si>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</si>
  <si>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</si>
  <si>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</si>
  <si>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</si>
  <si>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</si>
  <si>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</si>
  <si>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</si>
  <si>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</si>
  <si>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</si>
  <si>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</si>
  <si>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</si>
  <si>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</si>
  <si>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</si>
  <si>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</si>
  <si>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</si>
  <si>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</si>
  <si>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</si>
  <si>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</si>
  <si>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</si>
  <si>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</si>
  <si>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</si>
  <si>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</si>
  <si>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</si>
  <si>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</si>
  <si>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</si>
  <si>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</si>
  <si>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</si>
  <si>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</si>
  <si>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</si>
  <si>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</si>
  <si>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</si>
  <si>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</si>
  <si>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</si>
  <si>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</si>
  <si>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</si>
  <si>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</si>
  <si>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</si>
  <si>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</si>
  <si>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</si>
  <si>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</si>
  <si>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</si>
  <si>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</si>
  <si>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</si>
  <si>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</si>
  <si>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</si>
  <si>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</si>
  <si>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</si>
  <si>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</si>
  <si>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</si>
  <si>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</si>
  <si>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</si>
  <si>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</si>
  <si>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</si>
  <si>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</si>
  <si>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</si>
  <si>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</si>
  <si>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</si>
  <si>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</si>
  <si>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</si>
  <si>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</si>
  <si>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</si>
  <si>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</si>
  <si>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</si>
  <si>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</si>
  <si>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</si>
  <si>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</si>
  <si>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</si>
  <si>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</si>
  <si>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</si>
  <si>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</si>
  <si>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</si>
  <si>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</si>
  <si>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</si>
  <si>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</si>
  <si>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</si>
  <si>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</si>
  <si>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</si>
  <si>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</si>
  <si>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</si>
  <si>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</si>
  <si>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</si>
  <si>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</si>
  <si>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</si>
  <si>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</si>
  <si>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</si>
  <si>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</si>
  <si>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</si>
  <si>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</si>
  <si>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</si>
  <si>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</si>
  <si>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</si>
  <si>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</si>
  <si>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</si>
  <si>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</si>
  <si>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</si>
  <si>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</si>
  <si>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</si>
  <si>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</si>
  <si>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</si>
  <si>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</si>
  <si>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</si>
  <si>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</si>
  <si>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</si>
  <si>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</si>
  <si>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</si>
  <si>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</si>
  <si>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</si>
  <si>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</si>
  <si>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</si>
  <si>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</si>
  <si>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</si>
  <si>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</si>
  <si>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</si>
  <si>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</si>
  <si>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</si>
  <si>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</si>
  <si>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</si>
  <si>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</si>
  <si>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</si>
  <si>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</si>
  <si>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</si>
  <si>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</si>
  <si>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</si>
  <si>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</si>
  <si>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</si>
  <si>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</si>
  <si>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</si>
  <si>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</si>
  <si>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</si>
  <si>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</si>
  <si>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</si>
  <si>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</si>
  <si>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</si>
  <si>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</si>
  <si>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</si>
  <si>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</si>
  <si>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</si>
  <si>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</si>
  <si>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</si>
  <si>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</si>
  <si>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</si>
  <si>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</si>
  <si>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</si>
  <si>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</si>
  <si>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</si>
  <si>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</si>
  <si>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</si>
  <si>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</si>
  <si>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</si>
  <si>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</si>
  <si>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</si>
  <si>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</si>
  <si>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</si>
  <si>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</si>
  <si>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</si>
  <si>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</si>
  <si>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</si>
  <si>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</si>
  <si>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</si>
  <si>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</si>
  <si>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</si>
  <si>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</si>
  <si>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</si>
  <si>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</si>
  <si>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</si>
  <si>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</si>
  <si>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</si>
  <si>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</si>
  <si>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</si>
  <si>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</si>
  <si>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</si>
  <si>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</si>
  <si>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</si>
  <si>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</si>
  <si>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</si>
  <si>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</si>
  <si>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</si>
  <si>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</si>
  <si>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</si>
  <si>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</si>
  <si>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</si>
  <si>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</si>
  <si>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</si>
  <si>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</si>
  <si>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</si>
  <si>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</si>
  <si>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</si>
  <si>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</si>
  <si>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</si>
  <si>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</si>
  <si>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</si>
  <si>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</si>
  <si>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</si>
  <si>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</si>
  <si>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</si>
  <si>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</si>
  <si>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</si>
  <si>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</si>
  <si>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</si>
  <si>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</si>
  <si>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</si>
  <si>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</si>
  <si>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</si>
  <si>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</si>
  <si>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</si>
  <si>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</si>
  <si>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</si>
  <si>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</si>
  <si>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</si>
  <si>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</si>
  <si>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</si>
  <si>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</si>
  <si>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</si>
  <si>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</si>
  <si>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</si>
  <si>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</si>
  <si>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</si>
  <si>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</si>
  <si>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</si>
  <si>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</si>
  <si>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</si>
  <si>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</si>
  <si>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</si>
  <si>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</si>
  <si>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</si>
  <si>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</si>
  <si>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</si>
  <si>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</si>
  <si>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</si>
  <si>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</si>
  <si>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</si>
  <si>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</si>
  <si>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</si>
  <si>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</si>
  <si>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</si>
  <si>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</si>
  <si>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</si>
  <si>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</si>
  <si>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</si>
  <si>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</si>
  <si>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</si>
  <si>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</si>
  <si>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</si>
  <si>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</si>
  <si>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</si>
  <si>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</si>
  <si>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</si>
  <si>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</si>
  <si>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</si>
  <si>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</si>
  <si>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</si>
  <si>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</si>
  <si>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</si>
  <si>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</si>
  <si>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</si>
  <si>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</si>
  <si>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</si>
  <si>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</si>
  <si>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</si>
  <si>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</si>
  <si>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</si>
  <si>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</si>
  <si>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</si>
  <si>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</si>
  <si>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</si>
  <si>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</si>
  <si>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</si>
  <si>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</si>
  <si>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</si>
  <si>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</si>
  <si>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</si>
  <si>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</si>
  <si>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</si>
  <si>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</si>
  <si>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</si>
  <si>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</si>
  <si>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</si>
  <si>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</si>
  <si>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</si>
  <si>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</si>
  <si>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</si>
  <si>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</si>
  <si>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</si>
  <si>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</si>
  <si>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</si>
  <si>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</si>
  <si>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</si>
  <si>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</si>
  <si>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</si>
  <si>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</si>
  <si>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</si>
  <si>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</si>
  <si>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</si>
  <si>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</si>
  <si>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</si>
  <si>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</si>
  <si>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</si>
  <si>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</si>
  <si>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</si>
  <si>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</si>
  <si>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</si>
  <si>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</si>
  <si>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</si>
  <si>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</si>
  <si>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</si>
  <si>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</si>
  <si>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</si>
  <si>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</si>
  <si>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</si>
  <si>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</si>
  <si>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</si>
  <si>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</si>
  <si>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</si>
  <si>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</si>
  <si>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</si>
  <si>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</si>
  <si>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</si>
  <si>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</si>
  <si>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</si>
  <si>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</si>
  <si>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</si>
  <si>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</si>
  <si>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</si>
  <si>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</si>
  <si>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</si>
  <si>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</si>
  <si>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</si>
  <si>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</si>
  <si>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</si>
  <si>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</si>
  <si>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</si>
  <si>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</si>
  <si>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</si>
  <si>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</si>
  <si>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</si>
  <si>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</si>
  <si>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</si>
  <si>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</si>
  <si>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</si>
  <si>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</si>
  <si>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</si>
  <si>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</si>
  <si>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</si>
  <si>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</si>
  <si>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</si>
  <si>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</si>
  <si>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</si>
  <si>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</si>
  <si>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</si>
  <si>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</si>
  <si>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</si>
  <si>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</si>
  <si>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</si>
  <si>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</si>
  <si>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</si>
  <si>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</si>
  <si>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</si>
  <si>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</si>
  <si>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</si>
  <si>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</si>
  <si>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</si>
  <si>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</si>
  <si>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</si>
  <si>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</si>
  <si>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</si>
  <si>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</si>
  <si>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</si>
  <si>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</si>
  <si>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</si>
  <si>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</si>
  <si>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</si>
  <si>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</si>
  <si>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</si>
  <si>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</si>
  <si>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</si>
  <si>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</si>
  <si>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</si>
  <si>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</si>
  <si>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</si>
  <si>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</si>
  <si>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</si>
  <si>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</si>
  <si>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</si>
  <si>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</si>
  <si>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</si>
  <si>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</si>
  <si>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</si>
  <si>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</si>
  <si>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</si>
  <si>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</si>
  <si>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</si>
  <si>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</si>
  <si>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</si>
  <si>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</si>
  <si>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</si>
  <si>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</si>
  <si>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</si>
  <si>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</si>
  <si>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</si>
  <si>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</si>
  <si>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</si>
  <si>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</si>
  <si>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</si>
  <si>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</si>
  <si>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</si>
  <si>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</si>
  <si>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</si>
  <si>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</si>
  <si>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</si>
  <si>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</si>
  <si>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</si>
  <si>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</si>
  <si>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</si>
  <si>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</si>
  <si>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</si>
  <si>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</si>
  <si>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</si>
  <si>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</si>
  <si>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</si>
  <si>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</si>
  <si>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</si>
  <si>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</si>
  <si>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</si>
  <si>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</si>
  <si>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</si>
  <si>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</si>
  <si>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</si>
  <si>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</si>
  <si>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</si>
  <si>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</si>
  <si>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</si>
  <si>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</si>
  <si>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</si>
  <si>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</si>
  <si>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</si>
  <si>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</si>
  <si>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</si>
  <si>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</si>
  <si>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</si>
  <si>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</si>
  <si>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</si>
  <si>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</si>
  <si>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</si>
  <si>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</si>
  <si>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</si>
  <si>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</si>
  <si>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</si>
  <si>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</si>
  <si>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</si>
  <si>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</si>
  <si>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</si>
  <si>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</si>
  <si>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</si>
  <si>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</si>
  <si>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</si>
  <si>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</si>
  <si>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</si>
  <si>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</si>
  <si>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</si>
  <si>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</si>
  <si>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</si>
  <si>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</si>
  <si>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</si>
  <si>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</si>
  <si>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</si>
  <si>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</si>
  <si>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</si>
  <si>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</si>
  <si>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</si>
  <si>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</si>
  <si>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</si>
  <si>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</si>
  <si>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</si>
  <si>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</si>
  <si>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</si>
  <si>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</si>
  <si>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</si>
  <si>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</si>
  <si>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</si>
  <si>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</si>
  <si>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</si>
  <si>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</si>
  <si>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</si>
  <si>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</si>
  <si>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</si>
  <si>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</si>
  <si>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</si>
  <si>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</si>
  <si>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</si>
  <si>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</si>
  <si>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</si>
  <si>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</si>
  <si>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</si>
  <si>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</si>
  <si>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</si>
  <si>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</si>
  <si>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</si>
  <si>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</si>
  <si>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</si>
  <si>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</si>
  <si>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</si>
  <si>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</si>
  <si>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</si>
  <si>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</si>
  <si>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</si>
  <si>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</si>
  <si>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</si>
  <si>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</si>
  <si>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</si>
  <si>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</si>
  <si>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</si>
  <si>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</si>
  <si>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</si>
  <si>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</si>
  <si>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</si>
  <si>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</si>
  <si>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</si>
  <si>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</si>
  <si>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</si>
  <si>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</si>
  <si>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</si>
  <si>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</si>
  <si>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</si>
  <si>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</si>
  <si>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</si>
  <si>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</si>
  <si>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</si>
  <si>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</si>
  <si>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</si>
  <si>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</si>
  <si>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</si>
  <si>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</si>
  <si>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</si>
  <si>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</si>
  <si>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</si>
  <si>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</si>
  <si>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</si>
  <si>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</si>
  <si>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</si>
  <si>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</si>
  <si>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</si>
  <si>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</si>
  <si>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</si>
  <si>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</si>
  <si>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</si>
  <si>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</si>
  <si>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</si>
  <si>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</si>
  <si>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</si>
  <si>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</si>
  <si>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</si>
  <si>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</si>
  <si>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</si>
  <si>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</si>
  <si>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</si>
  <si>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</si>
  <si>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</si>
  <si>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</si>
  <si>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</si>
  <si>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</si>
  <si>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</si>
  <si>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</si>
  <si>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</si>
  <si>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</si>
  <si>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</si>
  <si>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</si>
  <si>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</si>
  <si>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</si>
  <si>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</si>
  <si>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</si>
  <si>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</si>
  <si>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</si>
  <si>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</si>
  <si>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</si>
  <si>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</si>
  <si>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</si>
  <si>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</si>
  <si>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</si>
  <si>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</si>
  <si>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</si>
  <si>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</si>
  <si>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</si>
  <si>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</si>
  <si>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</si>
  <si>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</si>
  <si>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</si>
  <si>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</si>
  <si>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</si>
  <si>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</si>
  <si>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</si>
  <si>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</si>
  <si>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</si>
  <si>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</si>
  <si>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</si>
  <si>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</si>
  <si>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</si>
  <si>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</si>
  <si>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</si>
  <si>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</si>
  <si>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</si>
  <si>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</si>
  <si>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</si>
  <si>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</si>
  <si>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</si>
  <si>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</si>
  <si>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</si>
  <si>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</si>
  <si>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</si>
  <si>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</si>
  <si>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</si>
  <si>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</si>
  <si>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</si>
  <si>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</si>
  <si>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</si>
  <si>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</si>
  <si>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</si>
  <si>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</si>
  <si>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</si>
  <si>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</si>
  <si>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</si>
  <si>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</si>
  <si>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</si>
  <si>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</si>
  <si>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</si>
  <si>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</si>
  <si>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</si>
  <si>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</si>
  <si>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</si>
  <si>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</si>
  <si>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</si>
  <si>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</si>
  <si>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</si>
  <si>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</si>
  <si>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</si>
  <si>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</si>
  <si>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</si>
  <si>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</si>
  <si>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</si>
  <si>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</si>
  <si>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</si>
  <si>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</si>
  <si>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</si>
  <si>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</si>
  <si>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</si>
  <si>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</si>
  <si>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</si>
  <si>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</si>
  <si>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</si>
  <si>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</si>
  <si>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</si>
  <si>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</si>
  <si>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</si>
  <si>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</si>
  <si>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</si>
  <si>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</si>
  <si>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</si>
  <si>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</si>
  <si>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</si>
  <si>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</si>
  <si>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</si>
  <si>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</si>
  <si>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</si>
  <si>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</si>
  <si>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</si>
  <si>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</si>
  <si>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</si>
  <si>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</si>
  <si>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</si>
  <si>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</si>
  <si>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</si>
  <si>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</si>
  <si>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</si>
  <si>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</si>
  <si>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</si>
  <si>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</si>
  <si>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</si>
  <si>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</si>
  <si>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</si>
  <si>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</si>
  <si>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</si>
  <si>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</si>
  <si>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</si>
  <si>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</si>
  <si>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</si>
  <si>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</si>
  <si>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</si>
  <si>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</si>
  <si>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</si>
  <si>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</si>
  <si>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</si>
  <si>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</si>
  <si>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</si>
  <si>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</si>
  <si>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</si>
  <si>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</si>
  <si>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</si>
  <si>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</si>
  <si>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</si>
  <si>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</si>
  <si>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</si>
  <si>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</si>
  <si>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</si>
  <si>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</si>
  <si>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</si>
  <si>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</si>
  <si>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</si>
  <si>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</si>
  <si>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</si>
  <si>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</si>
  <si>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</si>
  <si>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</si>
  <si>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</si>
  <si>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</si>
  <si>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</si>
  <si>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</si>
  <si>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</si>
  <si>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</si>
  <si>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</si>
  <si>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</si>
  <si>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</si>
  <si>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</si>
  <si>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</si>
  <si>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</si>
  <si>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</si>
  <si>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</si>
  <si>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</si>
  <si>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</si>
  <si>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</si>
  <si>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</si>
  <si>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</si>
  <si>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</si>
  <si>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</si>
  <si>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</si>
  <si>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</si>
  <si>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</si>
  <si>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</si>
  <si>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</si>
  <si>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</si>
  <si>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</si>
  <si>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</si>
  <si>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</si>
  <si>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</si>
  <si>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</si>
  <si>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</si>
  <si>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</si>
  <si>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</si>
  <si>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</si>
  <si>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</si>
  <si>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</si>
  <si>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</si>
  <si>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</si>
  <si>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</si>
  <si>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</si>
  <si>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</si>
  <si>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</si>
  <si>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</si>
  <si>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</si>
  <si>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</si>
  <si>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</si>
  <si>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</si>
  <si>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</si>
  <si>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</si>
  <si>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</si>
  <si>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</si>
  <si>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</si>
  <si>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</si>
  <si>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</si>
  <si>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</si>
  <si>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</si>
  <si>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</si>
  <si>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</si>
  <si>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</si>
  <si>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</si>
  <si>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</si>
  <si>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</si>
  <si>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</si>
  <si>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</si>
  <si>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</si>
  <si>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</si>
  <si>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</si>
  <si>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</si>
  <si>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</si>
  <si>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</si>
  <si>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</si>
  <si>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</si>
  <si>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</si>
  <si>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</si>
  <si>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</si>
  <si>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</si>
  <si>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</si>
  <si>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</si>
  <si>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</si>
  <si>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</si>
  <si>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</si>
  <si>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</si>
  <si>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</si>
  <si>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</si>
  <si>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</si>
  <si>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</si>
  <si>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</si>
  <si>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</si>
  <si>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</si>
  <si>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</si>
  <si>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</si>
  <si>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</si>
  <si>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</si>
  <si>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</si>
  <si>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</si>
  <si>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</si>
  <si>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</si>
  <si>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</si>
  <si>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</si>
  <si>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</si>
  <si>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</si>
  <si>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</si>
  <si>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</si>
  <si>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</si>
  <si>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</si>
  <si>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</si>
  <si>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</si>
  <si>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</si>
  <si>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</si>
  <si>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</si>
  <si>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</si>
  <si>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</si>
  <si>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</si>
  <si>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</si>
  <si>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</si>
  <si>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</si>
  <si>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</si>
  <si>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</si>
  <si>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</si>
  <si>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</si>
  <si>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</si>
  <si>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</si>
  <si>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</si>
  <si>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</si>
  <si>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</si>
  <si>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</si>
  <si>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</si>
  <si>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</si>
  <si>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</si>
  <si>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</si>
  <si>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</si>
  <si>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</si>
  <si>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</si>
  <si>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</si>
  <si>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</si>
  <si>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</si>
  <si>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</si>
  <si>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</si>
  <si>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</si>
  <si>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</si>
  <si>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</si>
  <si>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</si>
  <si>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</si>
  <si>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</si>
  <si>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</si>
  <si>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</si>
  <si>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</si>
  <si>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</si>
  <si>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</si>
  <si>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</si>
  <si>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</si>
  <si>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</si>
  <si>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</si>
  <si>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</si>
  <si>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</si>
  <si>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</si>
  <si>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</si>
  <si>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</si>
  <si>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</si>
  <si>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</si>
  <si>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</si>
  <si>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</si>
  <si>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</si>
  <si>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</si>
  <si>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</si>
  <si>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</si>
  <si>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</si>
  <si>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</si>
  <si>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</si>
  <si>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</si>
  <si>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</si>
  <si>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</si>
  <si>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</si>
  <si>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</si>
  <si>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</si>
  <si>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</si>
  <si>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</si>
  <si>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</si>
  <si>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</si>
  <si>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</si>
  <si>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</si>
  <si>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</si>
  <si>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</si>
  <si>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</si>
  <si>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</si>
  <si>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</si>
  <si>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</si>
  <si>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</si>
  <si>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</si>
  <si>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</si>
  <si>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</si>
  <si>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</si>
  <si>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</si>
  <si>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</si>
  <si>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</si>
  <si>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</si>
  <si>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</si>
  <si>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</si>
  <si>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</si>
  <si>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</si>
  <si>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</si>
  <si>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</si>
  <si>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</si>
  <si>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</si>
  <si>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</si>
  <si>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</si>
  <si>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</si>
  <si>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</si>
  <si>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</si>
  <si>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</si>
  <si>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</si>
  <si>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</si>
  <si>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</si>
  <si>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</si>
  <si>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</si>
  <si>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</si>
  <si>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</si>
  <si>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</si>
  <si>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</si>
  <si>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</si>
  <si>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</si>
  <si>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</si>
  <si>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</si>
  <si>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</si>
  <si>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</si>
  <si>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</si>
  <si>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</si>
  <si>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</si>
  <si>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</si>
  <si>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</si>
  <si>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</si>
  <si>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</si>
  <si>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</si>
  <si>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</si>
  <si>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</si>
  <si>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</si>
  <si>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</si>
  <si>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</si>
  <si>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</si>
  <si>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</si>
  <si>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</si>
  <si>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</si>
  <si>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</si>
  <si>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</si>
  <si>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</si>
  <si>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</si>
  <si>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</si>
  <si>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</si>
  <si>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</si>
  <si>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</si>
  <si>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</si>
  <si>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</si>
  <si>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</si>
  <si>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</si>
  <si>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</si>
  <si>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</si>
  <si>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</si>
  <si>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</si>
  <si>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</si>
  <si>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</si>
  <si>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</si>
  <si>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</si>
  <si>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</si>
  <si>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</si>
  <si>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</si>
  <si>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</si>
  <si>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</si>
  <si>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</si>
  <si>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</si>
  <si>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</si>
  <si>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</si>
  <si>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</si>
  <si>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</si>
  <si>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</si>
  <si>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</si>
  <si>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</si>
  <si>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</si>
  <si>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</si>
  <si>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</si>
  <si>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</si>
  <si>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</si>
  <si>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</si>
  <si>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</si>
  <si>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</si>
  <si>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</si>
  <si>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</si>
  <si>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</si>
  <si>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</si>
  <si>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</si>
  <si>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</si>
  <si>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</si>
  <si>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</si>
  <si>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</si>
  <si>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</si>
  <si>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</si>
  <si>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</si>
  <si>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</si>
  <si>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</si>
  <si>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</si>
  <si>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</si>
  <si>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</si>
  <si>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</si>
  <si>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</si>
  <si>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</si>
  <si>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</si>
  <si>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</si>
  <si>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</si>
  <si>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</si>
  <si>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</si>
  <si>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</si>
  <si>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</si>
  <si>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</si>
  <si>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</si>
  <si>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</si>
  <si>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</si>
  <si>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</si>
  <si>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</si>
  <si>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</si>
  <si>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</si>
  <si>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</si>
  <si>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</si>
  <si>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</si>
  <si>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</si>
  <si>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</si>
  <si>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</si>
  <si>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</si>
  <si>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</si>
  <si>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</si>
  <si>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</si>
  <si>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</si>
  <si>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</si>
  <si>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</si>
  <si>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</si>
  <si>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</si>
  <si>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</si>
  <si>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</si>
  <si>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</si>
  <si>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</si>
  <si>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</si>
  <si>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</si>
  <si>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</si>
  <si>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</si>
  <si>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</si>
  <si>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</si>
  <si>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</si>
  <si>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</si>
  <si>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</si>
  <si>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</si>
  <si>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</si>
  <si>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</si>
  <si>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</si>
  <si>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</si>
  <si>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</si>
  <si>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</si>
  <si>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</si>
  <si>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</si>
  <si>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</si>
  <si>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</si>
  <si>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</si>
  <si>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</si>
  <si>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</si>
  <si>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</si>
  <si>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</si>
  <si>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</si>
  <si>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</si>
  <si>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</si>
  <si>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</si>
  <si>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</si>
  <si>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</si>
  <si>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</si>
  <si>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</si>
  <si>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</si>
  <si>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</si>
  <si>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</si>
  <si>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</si>
  <si>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</si>
  <si>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</si>
  <si>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</si>
  <si>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</si>
  <si>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</si>
  <si>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</si>
  <si>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</si>
  <si>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</si>
  <si>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</si>
  <si>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</si>
  <si>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</si>
  <si>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</si>
  <si>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</si>
  <si>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</si>
  <si>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</si>
  <si>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</si>
  <si>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</si>
  <si>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</si>
  <si>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</si>
  <si>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</si>
  <si>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</si>
  <si>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</si>
  <si>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</si>
  <si>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</si>
  <si>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</si>
  <si>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</si>
  <si>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</si>
  <si>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</si>
  <si>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</si>
  <si>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</si>
  <si>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</si>
  <si>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</si>
  <si>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</si>
  <si>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</si>
  <si>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</si>
  <si>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</si>
  <si>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</si>
  <si>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</si>
  <si>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</si>
  <si>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</si>
  <si>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</si>
  <si>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</si>
  <si>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</si>
  <si>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</si>
  <si>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</si>
  <si>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</si>
  <si>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</si>
  <si>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</si>
  <si>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</si>
  <si>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</si>
  <si>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</si>
  <si>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</si>
  <si>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</si>
  <si>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</si>
  <si>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</si>
  <si>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</si>
  <si>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</si>
  <si>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</si>
  <si>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</si>
  <si>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</si>
  <si>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</si>
  <si>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</si>
  <si>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</si>
  <si>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</si>
  <si>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</si>
  <si>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</si>
  <si>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</si>
  <si>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</si>
  <si>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</si>
  <si>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</si>
  <si>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</si>
  <si>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</si>
  <si>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</si>
  <si>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</si>
  <si>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</si>
  <si>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</si>
  <si>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</si>
  <si>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</si>
  <si>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</si>
  <si>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</si>
  <si>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</si>
  <si>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</si>
  <si>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</si>
  <si>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</si>
  <si>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</si>
  <si>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</si>
  <si>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</si>
  <si>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</si>
  <si>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</si>
  <si>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</si>
  <si>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</si>
  <si>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</si>
  <si>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</si>
  <si>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</si>
  <si>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</si>
  <si>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</si>
  <si>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</si>
  <si>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</si>
  <si>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</si>
  <si>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</si>
  <si>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</si>
  <si>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</si>
  <si>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</si>
  <si>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</si>
  <si>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</si>
  <si>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</si>
  <si>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</si>
  <si>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</si>
  <si>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</si>
  <si>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</si>
  <si>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</si>
  <si>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</si>
  <si>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</si>
  <si>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</si>
  <si>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</si>
  <si>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</si>
  <si>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</si>
  <si>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</si>
  <si>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</si>
  <si>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</si>
  <si>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</si>
  <si>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</si>
  <si>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</si>
  <si>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</si>
  <si>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</si>
  <si>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</si>
  <si>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</si>
  <si>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</si>
  <si>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</si>
  <si>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</si>
  <si>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</si>
  <si>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</si>
  <si>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</si>
  <si>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</si>
  <si>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</si>
  <si>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</si>
  <si>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</si>
  <si>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</si>
  <si>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</si>
  <si>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</si>
  <si>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</si>
  <si>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</si>
  <si>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</si>
  <si>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</si>
  <si>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</si>
  <si>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</si>
  <si>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</si>
  <si>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</si>
  <si>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</si>
  <si>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</si>
  <si>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</si>
  <si>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</si>
  <si>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</si>
  <si>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</si>
  <si>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</si>
  <si>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</si>
  <si>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</si>
  <si>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</si>
  <si>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</si>
  <si>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</si>
  <si>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</si>
  <si>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</si>
  <si>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</si>
  <si>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</si>
  <si>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</si>
  <si>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</si>
  <si>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</si>
  <si>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</si>
  <si>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</si>
  <si>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</si>
  <si>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</si>
  <si>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</si>
  <si>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</si>
  <si>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</si>
  <si>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</si>
  <si>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</si>
  <si>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</si>
  <si>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</si>
  <si>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</si>
  <si>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</si>
  <si>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</si>
  <si>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</si>
  <si>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</si>
  <si>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</si>
  <si>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</si>
  <si>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</si>
  <si>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</si>
  <si>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</si>
  <si>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</si>
  <si>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</si>
  <si>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</si>
  <si>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</si>
  <si>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</si>
  <si>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</si>
  <si>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</si>
  <si>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</si>
  <si>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</si>
  <si>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</si>
  <si>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</si>
  <si>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</si>
  <si>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</si>
  <si>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</si>
  <si>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</si>
  <si>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</si>
  <si>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</si>
  <si>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</si>
  <si>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</si>
  <si>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</si>
  <si>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</si>
  <si>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</si>
  <si>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</si>
  <si>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</si>
  <si>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</si>
  <si>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</si>
  <si>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</si>
  <si>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</si>
  <si>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</si>
  <si>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</si>
  <si>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</si>
  <si>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</si>
  <si>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</si>
  <si>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</si>
  <si>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</si>
  <si>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</si>
  <si>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</si>
  <si>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</si>
  <si>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</si>
  <si>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</si>
  <si>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</si>
  <si>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</si>
  <si>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</si>
  <si>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</si>
  <si>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</si>
  <si>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</si>
  <si>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</si>
  <si>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</si>
  <si>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</si>
  <si>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</si>
  <si>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</si>
  <si>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</si>
  <si>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</si>
  <si>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</si>
  <si>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</si>
  <si>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</si>
  <si>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</si>
  <si>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</si>
  <si>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</si>
  <si>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</si>
  <si>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</si>
  <si>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</si>
  <si>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</si>
  <si>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</si>
  <si>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</si>
  <si>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</si>
  <si>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</si>
  <si>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</si>
  <si>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</si>
  <si>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</si>
  <si>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</si>
  <si>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</si>
  <si>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</si>
  <si>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</si>
  <si>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</si>
  <si>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</si>
  <si>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</si>
  <si>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</si>
  <si>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</si>
  <si>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</si>
  <si>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</si>
  <si>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</si>
  <si>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</si>
  <si>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</si>
  <si>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</si>
  <si>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</si>
  <si>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</si>
  <si>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</si>
  <si>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</si>
  <si>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</si>
  <si>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</si>
  <si>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</si>
  <si>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</si>
  <si>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</si>
  <si>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</si>
  <si>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</si>
  <si>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</si>
  <si>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</si>
  <si>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</si>
  <si>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</si>
  <si>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</si>
  <si>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</si>
  <si>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</si>
  <si>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</si>
  <si>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</si>
  <si>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</si>
  <si>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</si>
  <si>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</si>
  <si>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</si>
  <si>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</si>
  <si>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</si>
  <si>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</si>
  <si>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</si>
  <si>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</si>
  <si>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</si>
  <si>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</si>
  <si>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</si>
  <si>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</si>
  <si>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</si>
  <si>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</si>
  <si>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</si>
  <si>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</si>
  <si>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</si>
  <si>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</si>
  <si>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</si>
  <si>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</si>
  <si>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</si>
  <si>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</si>
  <si>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</si>
  <si>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</si>
  <si>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</si>
  <si>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</si>
  <si>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</si>
  <si>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</si>
  <si>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</si>
  <si>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</si>
  <si>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</si>
  <si>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</si>
  <si>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</si>
  <si>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</si>
  <si>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</si>
  <si>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</si>
  <si>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</si>
  <si>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</si>
  <si>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</si>
  <si>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</si>
  <si>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</si>
  <si>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</si>
  <si>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</si>
  <si>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</si>
  <si>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</si>
  <si>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</si>
  <si>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</si>
  <si>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</si>
  <si>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</si>
  <si>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</si>
  <si>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</si>
  <si>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</si>
  <si>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</si>
  <si>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</si>
  <si>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</si>
  <si>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</si>
  <si>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</si>
  <si>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</si>
  <si>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</si>
  <si>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</si>
  <si>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</si>
  <si>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</si>
  <si>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</si>
  <si>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</si>
  <si>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</si>
  <si>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</si>
  <si>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</si>
  <si>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</si>
  <si>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</si>
  <si>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</si>
  <si>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</si>
  <si>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</si>
  <si>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</si>
  <si>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</si>
  <si>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</si>
  <si>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</si>
  <si>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</si>
  <si>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</si>
  <si>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</si>
  <si>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</si>
  <si>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</si>
  <si>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</si>
  <si>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</si>
  <si>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</si>
  <si>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</si>
  <si>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</si>
  <si>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</si>
  <si>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</si>
  <si>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</si>
  <si>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</si>
  <si>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</si>
  <si>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</si>
  <si>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</si>
  <si>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</si>
  <si>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</si>
  <si>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</si>
  <si>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</si>
  <si>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</si>
  <si>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</si>
  <si>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</si>
  <si>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</si>
  <si>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</si>
  <si>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</si>
  <si>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</si>
  <si>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</si>
  <si>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</si>
  <si>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</si>
  <si>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</si>
  <si>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</si>
  <si>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</si>
  <si>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</si>
  <si>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</si>
  <si>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</si>
  <si>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</si>
  <si>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</si>
  <si>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</si>
  <si>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</si>
  <si>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</si>
  <si>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</si>
  <si>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</si>
  <si>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</si>
  <si>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</si>
  <si>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</si>
  <si>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</si>
  <si>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</si>
  <si>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</si>
  <si>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</si>
  <si>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</si>
  <si>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</si>
  <si>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</si>
  <si>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</si>
  <si>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</si>
  <si>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</si>
  <si>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</si>
  <si>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</si>
  <si>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</si>
  <si>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</si>
  <si>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</si>
  <si>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</si>
  <si>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</si>
  <si>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</si>
  <si>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</si>
  <si>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</si>
  <si>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</si>
  <si>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</si>
  <si>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</si>
  <si>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</si>
  <si>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</si>
  <si>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</si>
  <si>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</si>
  <si>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</si>
  <si>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</si>
  <si>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</si>
  <si>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</si>
  <si>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</si>
  <si>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</si>
  <si>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</si>
  <si>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</si>
  <si>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</si>
  <si>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</si>
  <si>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</si>
  <si>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</si>
  <si>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</si>
  <si>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</si>
  <si>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</si>
  <si>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</si>
  <si>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</si>
  <si>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</si>
  <si>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</si>
  <si>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</si>
  <si>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</si>
  <si>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</si>
  <si>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</si>
  <si>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</si>
  <si>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</si>
  <si>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</si>
  <si>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</si>
  <si>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</si>
  <si>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</si>
  <si>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</si>
  <si>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</si>
  <si>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</si>
  <si>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</si>
  <si>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</si>
  <si>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</si>
  <si>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</si>
  <si>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</si>
  <si>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</si>
  <si>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</si>
  <si>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</si>
  <si>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</si>
  <si>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</si>
  <si>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</si>
  <si>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</si>
  <si>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</si>
  <si>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</si>
  <si>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</si>
  <si>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</si>
  <si>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</si>
  <si>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</si>
  <si>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</si>
  <si>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</si>
  <si>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</si>
  <si>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</si>
  <si>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</si>
  <si>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</si>
  <si>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</si>
  <si>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</si>
  <si>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</si>
  <si>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</si>
  <si>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</si>
  <si>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</si>
  <si>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</si>
  <si>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</si>
  <si>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</si>
  <si>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</si>
  <si>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</si>
  <si>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</si>
  <si>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</si>
  <si>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</si>
  <si>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</si>
  <si>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</si>
  <si>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</si>
  <si>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</si>
  <si>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</si>
  <si>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</si>
  <si>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</si>
  <si>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</si>
  <si>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</si>
  <si>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</si>
  <si>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</si>
  <si>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</si>
  <si>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</si>
  <si>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</si>
  <si>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</si>
  <si>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</si>
  <si>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</si>
  <si>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</si>
  <si>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</si>
  <si>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</si>
  <si>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</si>
  <si>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</si>
  <si>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</si>
  <si>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</si>
  <si>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</si>
  <si>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</si>
  <si>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</si>
  <si>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</si>
  <si>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</si>
  <si>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</si>
  <si>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</si>
  <si>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</si>
  <si>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</si>
  <si>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</si>
  <si>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</si>
  <si>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</si>
  <si>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</si>
  <si>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</si>
  <si>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</si>
  <si>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</si>
  <si>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</si>
  <si>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</si>
  <si>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</si>
  <si>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</si>
  <si>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</si>
  <si>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</si>
  <si>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</si>
  <si>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</si>
  <si>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</si>
  <si>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</si>
  <si>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</si>
  <si>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</si>
  <si>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</si>
  <si>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</si>
  <si>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</si>
  <si>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</si>
  <si>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</si>
  <si>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</si>
  <si>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</si>
  <si>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</si>
  <si>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</si>
  <si>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</si>
  <si>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</si>
  <si>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</si>
  <si>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</si>
  <si>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</si>
  <si>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</si>
  <si>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</si>
  <si>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</si>
  <si>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</si>
  <si>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</si>
  <si>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</si>
  <si>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</si>
  <si>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</si>
  <si>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</si>
  <si>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</si>
  <si>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</si>
  <si>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</si>
  <si>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</si>
  <si>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</si>
  <si>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</si>
  <si>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</si>
  <si>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</si>
  <si>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</si>
  <si>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</si>
  <si>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</si>
  <si>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</si>
  <si>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</si>
  <si>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</si>
  <si>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</si>
  <si>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</si>
  <si>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</si>
  <si>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</si>
  <si>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</si>
  <si>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</si>
  <si>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</si>
  <si>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</si>
  <si>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</si>
  <si>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</si>
  <si>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</si>
  <si>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</si>
  <si>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</si>
  <si>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</si>
  <si>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</si>
  <si>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</si>
  <si>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</si>
  <si>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</si>
  <si>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</si>
  <si>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</si>
  <si>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</si>
  <si>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</si>
  <si>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</si>
  <si>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</si>
  <si>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</si>
  <si>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</si>
  <si>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</si>
  <si>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</si>
  <si>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</si>
  <si>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</si>
  <si>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</si>
  <si>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</si>
  <si>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</si>
  <si>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</si>
  <si>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</si>
  <si>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</si>
  <si>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</si>
  <si>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</si>
  <si>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</si>
  <si>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</si>
  <si>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</si>
  <si>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</si>
  <si>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</si>
  <si>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</si>
  <si>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</si>
  <si>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</si>
  <si>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</si>
  <si>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</si>
  <si>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</si>
  <si>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</si>
  <si>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</si>
  <si>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</si>
  <si>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</si>
  <si>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</si>
  <si>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</si>
  <si>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</si>
  <si>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</si>
  <si>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</si>
  <si>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</si>
  <si>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</si>
  <si>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</si>
  <si>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</si>
  <si>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</si>
  <si>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</si>
  <si>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</si>
  <si>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</si>
  <si>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</si>
  <si>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</si>
  <si>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</si>
  <si>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</si>
  <si>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</si>
  <si>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</si>
  <si>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</si>
  <si>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</si>
  <si>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</si>
  <si>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</si>
  <si>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</si>
  <si>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</si>
  <si>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</si>
  <si>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</si>
  <si>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</si>
  <si>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</si>
  <si>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</si>
  <si>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</si>
  <si>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</si>
  <si>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</si>
  <si>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</si>
  <si>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</si>
  <si>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</si>
  <si>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</si>
  <si>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</si>
  <si>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</si>
  <si>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</si>
  <si>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</si>
  <si>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</si>
  <si>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</si>
  <si>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</si>
  <si>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</si>
  <si>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</si>
  <si>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</si>
  <si>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</si>
  <si>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</si>
  <si>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</si>
  <si>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</si>
  <si>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</si>
  <si>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</si>
  <si>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</si>
  <si>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</si>
  <si>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</si>
  <si>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</si>
  <si>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</si>
  <si>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</si>
  <si>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</si>
  <si>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</si>
  <si>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</si>
  <si>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</si>
  <si>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</si>
  <si>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</si>
  <si>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</si>
  <si>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</si>
  <si>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</si>
  <si>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</si>
  <si>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</si>
  <si>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</si>
  <si>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</si>
  <si>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</si>
  <si>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</si>
  <si>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</si>
  <si>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</si>
  <si>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</si>
  <si>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</si>
  <si>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</si>
  <si>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</si>
  <si>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</si>
  <si>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</si>
  <si>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</si>
  <si>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</si>
  <si>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</si>
  <si>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</si>
  <si>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</si>
  <si>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</si>
  <si>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</si>
  <si>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</si>
  <si>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</si>
  <si>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</si>
  <si>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</si>
  <si>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</si>
  <si>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</si>
  <si>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</si>
  <si>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</si>
  <si>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</si>
  <si>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</si>
  <si>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</si>
  <si>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</si>
  <si>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</si>
  <si>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</si>
  <si>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</si>
  <si>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</si>
  <si>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</si>
  <si>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</si>
  <si>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</si>
  <si>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</si>
  <si>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</si>
  <si>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</si>
  <si>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</si>
  <si>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</si>
  <si>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</si>
  <si>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</si>
  <si>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</si>
  <si>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</si>
  <si>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</si>
  <si>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</si>
  <si>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</si>
  <si>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</si>
  <si>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</si>
  <si>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</si>
  <si>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</si>
  <si>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</si>
  <si>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</si>
  <si>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</si>
  <si>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</si>
  <si>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</si>
  <si>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</si>
  <si>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</si>
  <si>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</si>
  <si>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</si>
  <si>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</si>
  <si>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</si>
  <si>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</si>
  <si>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</si>
  <si>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</si>
  <si>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</si>
  <si>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</si>
  <si>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</si>
  <si>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</si>
  <si>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</si>
  <si>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</si>
  <si>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</si>
  <si>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</si>
  <si>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</si>
  <si>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</si>
  <si>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</si>
  <si>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</si>
  <si>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</si>
  <si>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</si>
  <si>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</si>
  <si>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</si>
  <si>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</si>
  <si>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</si>
  <si>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</si>
  <si>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</si>
  <si>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</si>
  <si>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</si>
  <si>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</si>
  <si>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</si>
  <si>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</si>
  <si>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</si>
  <si>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</si>
  <si>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</si>
  <si>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</si>
  <si>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</si>
  <si>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</si>
  <si>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</si>
  <si>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</si>
  <si>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</si>
  <si>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</si>
  <si>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</si>
  <si>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</si>
  <si>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</si>
  <si>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</si>
  <si>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</si>
  <si>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</si>
  <si>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</si>
  <si>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</si>
  <si>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</si>
  <si>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</si>
  <si>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</si>
  <si>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</si>
  <si>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</si>
  <si>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</si>
  <si>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</si>
  <si>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</si>
  <si>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</si>
  <si>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</si>
  <si>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</si>
  <si>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</si>
  <si>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</si>
  <si>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</si>
  <si>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</si>
  <si>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</si>
  <si>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</si>
  <si>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</si>
  <si>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</si>
  <si>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</si>
  <si>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</si>
  <si>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</si>
  <si>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</si>
  <si>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</si>
  <si>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</si>
  <si>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</si>
  <si>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</si>
  <si>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</si>
  <si>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</si>
  <si>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</si>
  <si>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</si>
  <si>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</si>
  <si>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</si>
  <si>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</si>
  <si>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</si>
  <si>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</si>
  <si>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</si>
  <si>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</si>
  <si>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</si>
  <si>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</si>
  <si>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</si>
  <si>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</si>
  <si>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</si>
  <si>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</si>
  <si>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</si>
  <si>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</si>
  <si>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</si>
  <si>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</si>
  <si>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</si>
  <si>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</si>
  <si>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</si>
  <si>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</si>
  <si>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</si>
  <si>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</si>
  <si>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</si>
  <si>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</si>
  <si>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</si>
  <si>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</si>
  <si>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</si>
  <si>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</si>
  <si>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</si>
  <si>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</si>
  <si>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</si>
  <si>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</si>
  <si>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</si>
  <si>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</si>
  <si>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</si>
  <si>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</si>
  <si>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</si>
  <si>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</si>
  <si>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</si>
  <si>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</si>
  <si>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</si>
  <si>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</si>
  <si>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</si>
  <si>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</si>
  <si>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</si>
  <si>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</si>
  <si>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</si>
  <si>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</si>
  <si>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</si>
  <si>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</si>
  <si>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</si>
  <si>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</si>
  <si>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</si>
  <si>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</si>
  <si>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</si>
  <si>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</si>
  <si>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</si>
  <si>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</si>
  <si>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</si>
  <si>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</si>
  <si>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</si>
  <si>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</si>
  <si>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</si>
  <si>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</si>
  <si>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</si>
  <si>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</si>
  <si>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</si>
  <si>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</si>
  <si>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</si>
  <si>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</si>
  <si>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</si>
  <si>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</si>
  <si>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</si>
  <si>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</si>
  <si>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</si>
  <si>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</si>
  <si>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</si>
  <si>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</si>
  <si>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</si>
  <si>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</si>
  <si>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</si>
  <si>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</si>
  <si>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</si>
  <si>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</si>
  <si>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</si>
  <si>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</si>
  <si>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</si>
  <si>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</si>
  <si>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</si>
  <si>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</si>
  <si>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</si>
  <si>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</si>
  <si>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</si>
  <si>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</si>
  <si>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</si>
  <si>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</si>
  <si>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</si>
  <si>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</si>
  <si>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</si>
  <si>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</si>
  <si>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</si>
  <si>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</si>
  <si>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</si>
  <si>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</si>
  <si>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</si>
  <si>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</si>
  <si>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</si>
  <si>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</si>
  <si>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</si>
  <si>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</si>
  <si>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</si>
  <si>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</si>
  <si>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</si>
  <si>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</si>
  <si>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</si>
  <si>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</si>
  <si>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</si>
  <si>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</si>
  <si>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</si>
  <si>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</si>
  <si>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</si>
  <si>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</si>
  <si>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</si>
  <si>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</si>
  <si>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</si>
  <si>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</si>
  <si>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</si>
  <si>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</si>
  <si>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</si>
  <si>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</si>
  <si>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</si>
  <si>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</si>
  <si>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</si>
  <si>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</si>
  <si>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</si>
  <si>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</si>
  <si>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</si>
  <si>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</si>
  <si>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</si>
  <si>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</si>
  <si>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</si>
  <si>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</si>
  <si>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</si>
  <si>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</si>
  <si>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</si>
  <si>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</si>
  <si>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</si>
  <si>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</si>
  <si>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</si>
  <si>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</si>
  <si>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</si>
  <si>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</si>
  <si>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</si>
  <si>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</si>
  <si>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</si>
  <si>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</si>
  <si>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</si>
  <si>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</si>
  <si>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</si>
  <si>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</si>
  <si>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</si>
  <si>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</si>
  <si>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</si>
  <si>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</si>
  <si>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</si>
  <si>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</si>
  <si>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</si>
  <si>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</si>
  <si>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</si>
  <si>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</si>
  <si>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</si>
  <si>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</si>
  <si>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</si>
  <si>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</si>
  <si>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</si>
  <si>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</si>
  <si>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</si>
  <si>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</si>
  <si>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</si>
  <si>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</si>
  <si>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</si>
  <si>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</si>
  <si>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</si>
  <si>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</si>
  <si>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</si>
  <si>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</si>
  <si>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</si>
  <si>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</si>
  <si>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</si>
  <si>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</si>
  <si>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</si>
  <si>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</si>
  <si>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</si>
  <si>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</si>
  <si>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</si>
  <si>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</si>
  <si>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</si>
  <si>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</si>
  <si>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</si>
  <si>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</si>
  <si>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</si>
  <si>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</si>
  <si>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</si>
  <si>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</si>
  <si>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</si>
  <si>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</si>
  <si>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</si>
  <si>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</si>
  <si>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</si>
  <si>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</si>
  <si>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</si>
  <si>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</si>
  <si>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</si>
  <si>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</si>
  <si>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</si>
  <si>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</si>
  <si>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</si>
  <si>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</si>
  <si>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</si>
  <si>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</si>
  <si>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</si>
  <si>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</si>
  <si>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</si>
  <si>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</si>
  <si>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</si>
  <si>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</si>
  <si>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</si>
  <si>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</si>
  <si>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</si>
  <si>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</si>
  <si>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</si>
  <si>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</si>
  <si>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</si>
  <si>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</si>
  <si>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</si>
  <si>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</si>
  <si>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</si>
  <si>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</si>
  <si>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</si>
  <si>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</si>
  <si>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</si>
  <si>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</si>
  <si>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</si>
  <si>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</si>
  <si>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</si>
  <si>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</si>
  <si>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</si>
  <si>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</si>
  <si>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</si>
  <si>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</si>
  <si>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</si>
  <si>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</si>
  <si>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</si>
  <si>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</si>
  <si>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</si>
  <si>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</si>
  <si>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</si>
  <si>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</si>
  <si>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</si>
  <si>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</si>
  <si>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</si>
  <si>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</si>
  <si>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</si>
  <si>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</si>
  <si>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</si>
  <si>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</si>
  <si>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</si>
  <si>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</si>
  <si>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</si>
  <si>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</si>
  <si>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</si>
  <si>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</si>
  <si>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</si>
  <si>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</si>
  <si>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</si>
  <si>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</si>
  <si>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</si>
  <si>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</si>
  <si>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</si>
  <si>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</si>
  <si>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</si>
  <si>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</si>
  <si>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</si>
  <si>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</si>
  <si>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</si>
  <si>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</si>
  <si>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</si>
  <si>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</si>
  <si>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</si>
  <si>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</si>
  <si>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</si>
  <si>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</si>
  <si>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</si>
  <si>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</si>
  <si>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</si>
  <si>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</si>
  <si>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</si>
  <si>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</si>
  <si>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</si>
  <si>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</si>
  <si>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</si>
  <si>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</si>
  <si>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</si>
  <si>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</si>
  <si>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</si>
  <si>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</si>
  <si>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</si>
  <si>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</si>
  <si>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</si>
  <si>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</si>
  <si>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</si>
  <si>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</si>
  <si>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</si>
  <si>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</si>
  <si>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</si>
  <si>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</si>
  <si>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</si>
  <si>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</si>
  <si>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</si>
  <si>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</si>
  <si>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</si>
  <si>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</si>
  <si>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</si>
  <si>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</si>
  <si>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</si>
  <si>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</si>
  <si>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</si>
  <si>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</si>
  <si>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</si>
  <si>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</si>
  <si>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</si>
  <si>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</si>
  <si>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</si>
  <si>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</si>
  <si>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</si>
  <si>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</si>
  <si>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</si>
  <si>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</si>
  <si>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</si>
  <si>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</si>
  <si>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</si>
  <si>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</si>
  <si>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</si>
  <si>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</si>
  <si>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</si>
  <si>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</si>
  <si>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</si>
  <si>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</si>
  <si>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</si>
  <si>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</si>
  <si>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</si>
  <si>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</si>
  <si>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</si>
  <si>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</si>
  <si>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</si>
  <si>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</si>
  <si>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</si>
  <si>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</si>
  <si>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</si>
  <si>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</si>
  <si>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</si>
  <si>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</si>
  <si>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</si>
  <si>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</si>
  <si>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</si>
  <si>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</si>
  <si>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</si>
  <si>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</si>
  <si>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</si>
  <si>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</si>
  <si>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</si>
  <si>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</si>
  <si>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</si>
  <si>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</si>
  <si>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</si>
  <si>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</si>
  <si>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</si>
  <si>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</si>
  <si>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</si>
  <si>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</si>
  <si>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</si>
  <si>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</si>
  <si>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</si>
  <si>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</si>
  <si>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</si>
  <si>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</si>
  <si>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</si>
  <si>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</si>
  <si>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</si>
  <si>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</si>
  <si>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</si>
  <si>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</si>
  <si>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</si>
  <si>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</si>
  <si>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</si>
  <si>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</si>
  <si>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</si>
  <si>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</si>
  <si>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</si>
  <si>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</si>
  <si>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</si>
  <si>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</si>
  <si>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</si>
  <si>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</si>
  <si>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</si>
  <si>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</si>
  <si>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</si>
  <si>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</si>
  <si>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</si>
  <si>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</si>
  <si>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</si>
  <si>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</si>
  <si>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</si>
  <si>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</si>
  <si>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</si>
  <si>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</si>
  <si>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</si>
  <si>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</si>
  <si>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</si>
  <si>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</si>
  <si>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</si>
  <si>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</si>
  <si>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</si>
  <si>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</si>
  <si>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</si>
  <si>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</si>
  <si>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</si>
  <si>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</si>
  <si>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</si>
  <si>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</si>
  <si>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</si>
  <si>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</si>
  <si>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</si>
  <si>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</si>
  <si>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</si>
  <si>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</si>
  <si>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</si>
  <si>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</si>
  <si>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</si>
  <si>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</si>
  <si>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</si>
  <si>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</si>
  <si>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</si>
  <si>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</si>
  <si>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</si>
  <si>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</si>
  <si>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</si>
  <si>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</si>
  <si>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</si>
  <si>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</si>
  <si>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</si>
  <si>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</si>
  <si>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</si>
  <si>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</si>
  <si>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</si>
  <si>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</si>
  <si>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</si>
  <si>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</si>
  <si>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</si>
  <si>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</si>
  <si>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</si>
  <si>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</si>
  <si>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</si>
  <si>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</si>
  <si>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</si>
  <si>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</si>
  <si>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</si>
  <si>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</si>
  <si>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</si>
  <si>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</si>
  <si>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</si>
  <si>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</si>
  <si>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</si>
  <si>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</si>
  <si>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</si>
  <si>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</si>
  <si>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</si>
  <si>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</si>
  <si>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</si>
  <si>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</si>
  <si>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</si>
  <si>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</si>
  <si>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</si>
  <si>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</si>
  <si>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</si>
  <si>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</si>
  <si>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</si>
  <si>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</si>
  <si>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</si>
  <si>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</si>
  <si>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</si>
  <si>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</si>
  <si>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</si>
  <si>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</si>
  <si>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</si>
  <si>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</si>
  <si>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</si>
  <si>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</si>
  <si>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</si>
  <si>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</si>
  <si>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</si>
  <si>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</si>
  <si>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</si>
  <si>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</si>
  <si>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</si>
  <si>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</si>
  <si>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</si>
  <si>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</si>
  <si>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</si>
  <si>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</si>
  <si>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</si>
  <si>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</si>
  <si>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</si>
  <si>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</si>
  <si>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</si>
  <si>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</si>
  <si>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</si>
  <si>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</si>
  <si>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</si>
  <si>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</si>
  <si>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</si>
  <si>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</si>
  <si>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</si>
  <si>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</si>
  <si>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</si>
  <si>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</si>
  <si>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</si>
  <si>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</si>
  <si>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</si>
  <si>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</si>
  <si>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</si>
  <si>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</si>
  <si>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</si>
  <si>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</si>
  <si>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</si>
  <si>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</si>
  <si>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</si>
  <si>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</si>
  <si>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</si>
  <si>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</si>
  <si>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</si>
  <si>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</si>
  <si>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</si>
  <si>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</si>
  <si>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</si>
  <si>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</si>
  <si>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</si>
  <si>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</si>
  <si>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</si>
  <si>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</si>
  <si>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</si>
  <si>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</si>
  <si>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</si>
  <si>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</si>
  <si>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</si>
  <si>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</si>
  <si>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</si>
  <si>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</si>
  <si>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</si>
  <si>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</si>
  <si>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</si>
  <si>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</si>
  <si>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</si>
  <si>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</si>
  <si>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</si>
  <si>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</si>
  <si>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</si>
  <si>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</si>
  <si>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</si>
  <si>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</si>
  <si>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</si>
  <si>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</si>
  <si>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</si>
  <si>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</si>
  <si>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</si>
  <si>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</si>
  <si>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</si>
  <si>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</si>
  <si>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</si>
  <si>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</si>
  <si>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</si>
  <si>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</si>
  <si>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</si>
  <si>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</si>
  <si>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</si>
  <si>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</si>
  <si>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</si>
  <si>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</si>
  <si>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</si>
  <si>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</si>
  <si>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</si>
  <si>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</si>
  <si>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</si>
  <si>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</si>
  <si>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</si>
  <si>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</si>
  <si>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</si>
  <si>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</si>
  <si>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</si>
  <si>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</si>
  <si>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</si>
  <si>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</si>
  <si>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</si>
  <si>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</si>
  <si>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</si>
  <si>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</si>
  <si>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</si>
  <si>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</si>
  <si>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</si>
  <si>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</si>
  <si>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</si>
  <si>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</si>
  <si>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</si>
  <si>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</si>
  <si>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</si>
  <si>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</si>
  <si>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</si>
  <si>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</si>
  <si>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</si>
  <si>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</si>
  <si>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</si>
  <si>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</si>
  <si>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</si>
  <si>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</si>
  <si>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</si>
  <si>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</si>
  <si>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</si>
  <si>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</si>
  <si>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</si>
  <si>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</si>
  <si>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</si>
  <si>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</si>
  <si>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</si>
  <si>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</si>
  <si>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</si>
  <si>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</si>
  <si>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</si>
  <si>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</si>
  <si>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</si>
  <si>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</si>
  <si>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</si>
  <si>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</si>
  <si>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</si>
  <si>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</si>
  <si>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</si>
  <si>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</si>
  <si>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</si>
  <si>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</si>
  <si>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</si>
  <si>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</si>
  <si>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</si>
  <si>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</si>
  <si>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</si>
  <si>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</si>
  <si>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</si>
  <si>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</si>
  <si>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</si>
  <si>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</si>
  <si>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</si>
  <si>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</si>
  <si>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</si>
  <si>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</si>
  <si>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</si>
  <si>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</si>
  <si>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</si>
  <si>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</si>
  <si>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</si>
  <si>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</si>
  <si>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</si>
  <si>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</si>
  <si>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</si>
  <si>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</si>
  <si>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</si>
  <si>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</si>
  <si>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</si>
  <si>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</si>
  <si>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</si>
  <si>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</si>
  <si>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</si>
  <si>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</si>
  <si>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</si>
  <si>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</si>
  <si>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</si>
  <si>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</si>
  <si>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</si>
  <si>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</si>
  <si>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</si>
  <si>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</si>
  <si>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</si>
  <si>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</si>
  <si>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</si>
  <si>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</si>
  <si>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</si>
  <si>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</si>
  <si>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</si>
  <si>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</si>
  <si>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</si>
  <si>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</si>
  <si>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</si>
  <si>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</si>
  <si>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</si>
  <si>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</si>
  <si>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</si>
  <si>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</si>
  <si>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</si>
  <si>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</si>
  <si>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</si>
  <si>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</si>
  <si>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</si>
  <si>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</si>
  <si>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</si>
  <si>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</si>
  <si>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</si>
  <si>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</si>
  <si>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</si>
  <si>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</si>
  <si>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</si>
  <si>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</si>
  <si>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</si>
  <si>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</si>
  <si>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</si>
  <si>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</si>
  <si>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</si>
  <si>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</si>
  <si>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</si>
  <si>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</si>
  <si>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</si>
  <si>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</si>
  <si>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</si>
  <si>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</si>
  <si>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</si>
  <si>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</si>
  <si>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</si>
  <si>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</si>
  <si>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</si>
  <si>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</si>
  <si>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</si>
  <si>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</si>
  <si>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</si>
  <si>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</si>
  <si>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</si>
  <si>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</si>
  <si>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</si>
  <si>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</si>
  <si>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</si>
  <si>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</si>
  <si>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</si>
  <si>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</si>
  <si>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</si>
  <si>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</si>
  <si>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</si>
  <si>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</si>
  <si>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</si>
  <si>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</si>
  <si>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</si>
  <si>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</si>
  <si>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</si>
  <si>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</si>
  <si>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</si>
  <si>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</si>
  <si>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</si>
  <si>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</si>
  <si>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</si>
  <si>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</si>
  <si>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</si>
  <si>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</si>
  <si>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</si>
  <si>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</si>
  <si>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</si>
  <si>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</si>
  <si>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</si>
  <si>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</si>
  <si>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</si>
  <si>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</si>
  <si>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</si>
  <si>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</si>
  <si>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</si>
  <si>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</si>
  <si>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</si>
  <si>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</si>
  <si>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</si>
  <si>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</si>
  <si>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</si>
  <si>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</si>
  <si>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</si>
  <si>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</si>
  <si>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</si>
  <si>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</si>
  <si>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</si>
  <si>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</si>
  <si>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</si>
  <si>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</si>
  <si>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</si>
  <si>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</si>
  <si>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</si>
  <si>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</si>
  <si>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</si>
  <si>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</si>
  <si>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</si>
  <si>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</si>
  <si>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</si>
  <si>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</si>
  <si>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</si>
  <si>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</si>
  <si>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</si>
  <si>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</si>
  <si>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</si>
  <si>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</si>
  <si>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</si>
  <si>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</si>
  <si>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</si>
  <si>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</si>
  <si>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</si>
  <si>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</si>
  <si>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</si>
  <si>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</si>
  <si>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</si>
  <si>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</si>
  <si>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</si>
  <si>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</si>
  <si>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</si>
  <si>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</si>
  <si>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</si>
  <si>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</si>
  <si>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</si>
  <si>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</si>
  <si>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</si>
  <si>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</si>
  <si>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</si>
  <si>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</si>
  <si>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</si>
  <si>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</si>
  <si>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</si>
  <si>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</si>
  <si>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</si>
  <si>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</si>
  <si>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</si>
  <si>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</si>
  <si>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</si>
  <si>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</si>
  <si>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</si>
  <si>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</si>
  <si>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</si>
  <si>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</si>
  <si>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</si>
  <si>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</si>
  <si>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</si>
  <si>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</si>
  <si>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</si>
  <si>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</si>
  <si>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</si>
  <si>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</si>
  <si>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</si>
  <si>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</si>
  <si>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</si>
  <si>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</si>
  <si>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</si>
  <si>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</si>
  <si>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</si>
  <si>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</si>
  <si>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</si>
  <si>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</si>
  <si>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</si>
  <si>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</si>
  <si>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</si>
  <si>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</si>
  <si>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</si>
  <si>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</si>
  <si>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</si>
  <si>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</si>
  <si>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</si>
  <si>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</si>
  <si>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</si>
  <si>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</si>
  <si>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</si>
  <si>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</si>
  <si>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</si>
  <si>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</si>
  <si>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</si>
  <si>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</si>
  <si>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</si>
  <si>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</si>
  <si>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</si>
  <si>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</si>
  <si>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</si>
  <si>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</si>
  <si>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</si>
  <si>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</si>
  <si>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</si>
  <si>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</si>
  <si>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</si>
  <si>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</si>
  <si>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</si>
  <si>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</si>
  <si>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</si>
  <si>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</si>
  <si>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</si>
  <si>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</si>
  <si>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</si>
  <si>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</si>
  <si>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</si>
  <si>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</si>
  <si>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</si>
  <si>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</si>
  <si>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</si>
  <si>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</si>
  <si>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</si>
  <si>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</si>
  <si>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</si>
  <si>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</si>
  <si>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</si>
  <si>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</si>
  <si>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</si>
  <si>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</si>
  <si>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</si>
  <si>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</si>
  <si>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</si>
  <si>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</si>
  <si>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</si>
  <si>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</si>
  <si>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</si>
  <si>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</si>
  <si>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</si>
  <si>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</si>
  <si>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</si>
  <si>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</si>
  <si>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</si>
  <si>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</si>
  <si>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</si>
  <si>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</si>
  <si>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</si>
  <si>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</si>
  <si>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</si>
  <si>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</si>
  <si>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</si>
  <si>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</si>
  <si>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</si>
  <si>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</si>
  <si>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</si>
  <si>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</si>
  <si>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</si>
  <si>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</si>
  <si>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</si>
  <si>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</si>
  <si>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</si>
  <si>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</si>
  <si>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</si>
  <si>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</si>
  <si>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</si>
  <si>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</si>
  <si>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</si>
  <si>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</si>
  <si>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</si>
  <si>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</si>
  <si>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</si>
  <si>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</si>
  <si>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</si>
  <si>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</si>
  <si>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</si>
  <si>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</si>
  <si>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</si>
  <si>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</si>
  <si>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</si>
  <si>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</si>
  <si>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</si>
  <si>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</si>
  <si>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</si>
  <si>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</si>
  <si>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</si>
  <si>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</si>
  <si>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</si>
  <si>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</si>
  <si>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</si>
  <si>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</si>
  <si>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</si>
  <si>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</si>
  <si>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</si>
  <si>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</si>
  <si>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</si>
  <si>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</si>
  <si>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</si>
  <si>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</si>
  <si>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</si>
  <si>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</si>
  <si>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</si>
  <si>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</si>
  <si>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</si>
  <si>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</si>
  <si>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</si>
  <si>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</si>
  <si>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</si>
  <si>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</si>
  <si>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</si>
  <si>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</si>
  <si>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</si>
  <si>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</si>
  <si>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</si>
  <si>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</si>
  <si>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</si>
  <si>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</si>
  <si>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</si>
  <si>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</si>
  <si>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</si>
  <si>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</si>
  <si>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</si>
  <si>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</si>
  <si>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</si>
  <si>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</si>
  <si>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</si>
  <si>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</si>
  <si>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</si>
  <si>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</si>
  <si>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</si>
  <si>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</si>
  <si>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</si>
  <si>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</si>
  <si>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</si>
  <si>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</si>
  <si>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</si>
  <si>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</si>
  <si>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</si>
  <si>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</si>
  <si>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</si>
  <si>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</si>
  <si>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</si>
  <si>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</si>
  <si>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</si>
  <si>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</si>
  <si>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</si>
  <si>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</si>
  <si>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</si>
  <si>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</si>
  <si>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</si>
  <si>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</si>
  <si>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</si>
  <si>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</si>
  <si>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</si>
  <si>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</si>
  <si>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</si>
  <si>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</si>
  <si>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</si>
  <si>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</si>
  <si>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</si>
  <si>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</si>
  <si>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</si>
  <si>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</si>
  <si>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</si>
  <si>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</si>
  <si>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</si>
  <si>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</si>
  <si>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</si>
  <si>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</si>
  <si>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</si>
  <si>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</si>
  <si>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</si>
  <si>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</si>
  <si>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</si>
  <si>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</si>
  <si>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</si>
  <si>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</si>
  <si>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</si>
  <si>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</si>
  <si>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</si>
  <si>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</si>
  <si>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</si>
  <si>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</si>
  <si>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</si>
  <si>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</si>
  <si>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</si>
  <si>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</si>
  <si>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</si>
  <si>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</si>
  <si>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</si>
  <si>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</si>
  <si>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</si>
  <si>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</si>
  <si>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</si>
  <si>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</si>
  <si>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</si>
  <si>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</si>
  <si>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</si>
  <si>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</si>
  <si>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</si>
  <si>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</si>
  <si>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</si>
  <si>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</si>
  <si>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</si>
  <si>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</si>
  <si>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</si>
  <si>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</si>
  <si>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</si>
  <si>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</si>
  <si>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</si>
  <si>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</si>
  <si>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</si>
  <si>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</si>
  <si>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</si>
  <si>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</si>
  <si>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</si>
  <si>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</si>
  <si>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</si>
  <si>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</si>
  <si>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</si>
  <si>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</si>
  <si>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</si>
  <si>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</si>
  <si>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</si>
  <si>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</si>
  <si>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</si>
  <si>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</si>
  <si>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</si>
  <si>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</si>
  <si>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</si>
  <si>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</si>
  <si>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</si>
  <si>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</si>
  <si>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</si>
  <si>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</si>
  <si>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</si>
  <si>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</si>
  <si>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</si>
  <si>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</si>
  <si>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</si>
  <si>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</si>
  <si>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</si>
  <si>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</si>
  <si>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</si>
  <si>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</si>
  <si>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</si>
  <si>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</si>
  <si>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</si>
  <si>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</si>
  <si>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</si>
  <si>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</si>
  <si>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</si>
  <si>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</si>
  <si>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</si>
  <si>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</si>
  <si>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</si>
  <si>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</si>
  <si>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</si>
  <si>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</si>
  <si>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</si>
  <si>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</si>
  <si>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</si>
  <si>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</si>
  <si>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</si>
  <si>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</si>
  <si>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</si>
  <si>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</si>
  <si>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</si>
  <si>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</si>
  <si>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</si>
  <si>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</si>
  <si>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</si>
  <si>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</si>
  <si>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</si>
  <si>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</si>
  <si>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</si>
  <si>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</si>
  <si>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</si>
  <si>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</si>
  <si>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</si>
  <si>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</si>
  <si>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</si>
  <si>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</si>
  <si>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</si>
  <si>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</si>
  <si>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</si>
  <si>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</si>
  <si>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</si>
  <si>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</si>
  <si>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</si>
  <si>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</si>
  <si>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</si>
  <si>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</si>
  <si>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</si>
  <si>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</si>
  <si>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</si>
  <si>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</si>
  <si>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</si>
  <si>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</si>
  <si>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</si>
  <si>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</si>
  <si>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</si>
  <si>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</si>
  <si>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</si>
  <si>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</si>
  <si>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</si>
  <si>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</si>
  <si>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</si>
  <si>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</si>
  <si>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</si>
  <si>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</si>
  <si>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</si>
  <si>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</si>
  <si>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</si>
  <si>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</si>
  <si>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</si>
  <si>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</si>
  <si>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</si>
  <si>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</si>
  <si>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</si>
  <si>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</si>
  <si>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</si>
  <si>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</si>
  <si>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</si>
  <si>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</si>
  <si>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</si>
  <si>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</si>
  <si>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</si>
  <si>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</si>
  <si>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</si>
  <si>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</si>
  <si>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</si>
  <si>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</si>
  <si>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</si>
  <si>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</si>
  <si>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</si>
  <si>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</si>
  <si>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</si>
  <si>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</si>
  <si>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</si>
  <si>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</si>
  <si>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</si>
  <si>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</si>
  <si>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</si>
  <si>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</si>
  <si>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</si>
  <si>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</si>
  <si>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</si>
  <si>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</si>
  <si>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</si>
  <si>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</si>
  <si>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</si>
  <si>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</si>
  <si>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</si>
  <si>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</si>
  <si>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</si>
  <si>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</si>
  <si>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</si>
  <si>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</si>
  <si>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</si>
  <si>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</si>
  <si>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</si>
  <si>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</si>
  <si>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</si>
  <si>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</si>
  <si>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</si>
  <si>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</si>
  <si>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</si>
  <si>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</si>
  <si>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</si>
  <si>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</si>
  <si>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</si>
  <si>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</si>
  <si>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</si>
  <si>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</si>
  <si>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</si>
  <si>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</si>
  <si>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</si>
  <si>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</si>
  <si>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</si>
  <si>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</si>
  <si>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</si>
  <si>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</si>
  <si>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</si>
  <si>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</si>
  <si>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</si>
  <si>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</si>
  <si>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</si>
  <si>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</si>
  <si>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</si>
  <si>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</si>
  <si>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</si>
  <si>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</si>
  <si>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</si>
  <si>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</si>
  <si>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</si>
  <si>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</si>
  <si>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</si>
  <si>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</si>
  <si>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</si>
  <si>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</si>
  <si>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</si>
  <si>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</si>
  <si>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</si>
  <si>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</si>
  <si>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</si>
  <si>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</si>
  <si>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</si>
  <si>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</si>
  <si>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</si>
  <si>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</si>
  <si>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</si>
  <si>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</si>
  <si>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</si>
  <si>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</si>
  <si>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</si>
  <si>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</si>
  <si>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</si>
  <si>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</si>
  <si>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</si>
  <si>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</si>
  <si>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</si>
  <si>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</si>
  <si>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</si>
  <si>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</si>
  <si>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</si>
  <si>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</si>
  <si>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</si>
  <si>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</si>
  <si>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</si>
  <si>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</si>
  <si>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</si>
  <si>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</si>
  <si>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</si>
  <si>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</si>
  <si>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</si>
  <si>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</si>
  <si>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</si>
  <si>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</si>
  <si>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</si>
  <si>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</si>
  <si>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</si>
  <si>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</si>
  <si>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</si>
  <si>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</si>
  <si>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</si>
  <si>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</si>
  <si>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</si>
  <si>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</si>
  <si>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</si>
  <si>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</si>
  <si>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</si>
  <si>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</si>
  <si>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</si>
  <si>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</si>
  <si>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</si>
  <si>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</si>
  <si>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</si>
  <si>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</si>
  <si>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</si>
  <si>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</si>
  <si>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</si>
  <si>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</si>
  <si>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</si>
  <si>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</si>
  <si>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</si>
  <si>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</si>
  <si>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</si>
  <si>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</si>
  <si>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</si>
  <si>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</si>
  <si>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</si>
  <si>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</si>
  <si>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</si>
  <si>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</si>
  <si>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</si>
  <si>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</si>
  <si>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</si>
  <si>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</si>
  <si>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</si>
  <si>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</si>
  <si>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</si>
  <si>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</si>
  <si>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</si>
  <si>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</si>
  <si>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</si>
  <si>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</si>
  <si>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</si>
  <si>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</si>
  <si>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</si>
  <si>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</si>
  <si>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</si>
  <si>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</si>
  <si>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</si>
  <si>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</si>
  <si>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</si>
  <si>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</si>
  <si>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</si>
  <si>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</si>
  <si>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</si>
  <si>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</si>
  <si>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</si>
  <si>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</si>
  <si>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</si>
  <si>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</si>
  <si>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</si>
  <si>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</si>
  <si>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</si>
  <si>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</si>
  <si>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</si>
  <si>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</si>
  <si>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</si>
  <si>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</si>
  <si>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</si>
  <si>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</si>
  <si>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</si>
  <si>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</si>
  <si>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</si>
  <si>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</si>
  <si>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</si>
  <si>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</si>
  <si>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</si>
  <si>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</si>
  <si>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</si>
  <si>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</si>
  <si>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</si>
  <si>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</si>
  <si>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</si>
  <si>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</si>
  <si>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</si>
  <si>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</si>
  <si>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</si>
  <si>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</si>
  <si>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</si>
  <si>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</si>
  <si>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</si>
  <si>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</si>
  <si>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</si>
  <si>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</si>
  <si>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</si>
  <si>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</si>
  <si>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</si>
  <si>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</si>
  <si>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</si>
  <si>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</si>
  <si>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</si>
  <si>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</si>
  <si>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</si>
  <si>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</si>
  <si>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</si>
  <si>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</si>
  <si>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</si>
  <si>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</si>
  <si>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</si>
  <si>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</si>
  <si>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</si>
  <si>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</si>
  <si>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</si>
  <si>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</si>
  <si>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</si>
  <si>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</si>
  <si>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</si>
  <si>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</si>
  <si>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</si>
  <si>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</si>
  <si>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</si>
  <si>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</si>
  <si>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</si>
  <si>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</si>
  <si>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</si>
  <si>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</si>
  <si>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</si>
  <si>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</si>
  <si>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</si>
  <si>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</si>
  <si>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</si>
  <si>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</si>
  <si>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</si>
  <si>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</si>
  <si>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</si>
  <si>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</si>
  <si>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</si>
  <si>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</si>
  <si>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</si>
  <si>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</si>
  <si>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</si>
  <si>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</si>
  <si>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</si>
  <si>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</si>
  <si>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</si>
  <si>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</si>
  <si>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</si>
  <si>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</si>
  <si>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</si>
  <si>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</si>
  <si>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</si>
  <si>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</si>
  <si>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</si>
  <si>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</si>
  <si>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</si>
  <si>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</si>
  <si>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</si>
  <si>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</si>
  <si>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</si>
  <si>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</si>
  <si>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</si>
  <si>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</si>
  <si>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</si>
  <si>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</si>
  <si>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</si>
  <si>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</si>
  <si>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</si>
  <si>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</si>
  <si>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</si>
  <si>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</si>
  <si>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</si>
  <si>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</si>
  <si>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</si>
  <si>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</si>
  <si>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</si>
  <si>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</si>
  <si>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</si>
  <si>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</si>
  <si>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</si>
  <si>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</si>
  <si>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</si>
  <si>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</si>
  <si>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</si>
  <si>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</si>
  <si>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</si>
  <si>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</si>
  <si>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</si>
  <si>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</si>
  <si>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</si>
  <si>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</si>
  <si>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</si>
  <si>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</si>
  <si>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</si>
  <si>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</si>
  <si>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</si>
  <si>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</si>
  <si>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</si>
  <si>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</si>
  <si>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</si>
  <si>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</si>
  <si>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</si>
  <si>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</si>
  <si>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</si>
  <si>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</si>
  <si>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</si>
  <si>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</si>
  <si>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</si>
  <si>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</si>
  <si>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</si>
  <si>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</si>
  <si>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</si>
  <si>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</si>
  <si>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</si>
  <si>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</si>
  <si>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</si>
  <si>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</si>
  <si>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</si>
  <si>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</si>
  <si>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</si>
  <si>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</si>
  <si>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</si>
  <si>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</si>
  <si>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</si>
  <si>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</si>
  <si>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</si>
  <si>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</si>
  <si>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</si>
  <si>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</si>
  <si>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</si>
  <si>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</si>
  <si>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</si>
  <si>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</si>
  <si>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</si>
  <si>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</si>
  <si>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</si>
  <si>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</si>
  <si>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</si>
  <si>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</si>
  <si>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</si>
  <si>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</si>
  <si>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</si>
  <si>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</si>
  <si>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</si>
  <si>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</si>
  <si>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</si>
  <si>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</si>
  <si>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</si>
  <si>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</si>
  <si>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</si>
  <si>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</si>
  <si>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</si>
  <si>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</si>
  <si>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</si>
  <si>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</si>
  <si>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</si>
  <si>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</si>
  <si>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</si>
  <si>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</si>
  <si>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</si>
  <si>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</si>
  <si>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</si>
  <si>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</si>
  <si>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</si>
  <si>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</si>
  <si>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</si>
  <si>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</si>
  <si>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</si>
  <si>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</si>
  <si>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</si>
  <si>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</si>
  <si>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</si>
  <si>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</si>
  <si>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</si>
  <si>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</si>
  <si>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</si>
  <si>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</si>
  <si>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</si>
  <si>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</si>
  <si>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</si>
  <si>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</si>
  <si>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</si>
  <si>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</si>
  <si>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</si>
  <si>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</si>
  <si>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</si>
  <si>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</si>
  <si>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</si>
  <si>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</si>
  <si>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Count of outcomes</t>
  </si>
  <si>
    <t>(All)</t>
  </si>
  <si>
    <t>Column Labels</t>
  </si>
  <si>
    <t>Date Created Conversion</t>
  </si>
  <si>
    <t>Date Ended Conversion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</si>
  <si>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</si>
  <si>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</si>
  <si>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</si>
  <si>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</si>
  <si>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</si>
  <si>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</si>
  <si>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</si>
  <si>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</si>
  <si>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</si>
  <si>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</si>
  <si>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</si>
  <si>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</si>
  <si>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</si>
  <si>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Name</t>
  </si>
  <si>
    <t>Blurb</t>
  </si>
  <si>
    <t>Goal</t>
  </si>
  <si>
    <t>Pledged</t>
  </si>
  <si>
    <t>Avg Donation</t>
  </si>
  <si>
    <t># of Backers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</si>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</sst>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Alignment="1">
      <alignment horizontal="center"/>
    </xf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E6B72"/>
      <color rgb="FFFF49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[Kickstarter_Challenge_Final.xlsx]Theater Outcomes by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Theater Outcomes Based</a:t>
            </a:r>
            <a:r>
              <a:rPr lang="en-US" b="1" baseline="0">
                <a:solidFill>
                  <a:schemeClr val="tx1"/>
                </a:solidFill>
              </a:rPr>
              <a:t> on Launch Date</a:t>
            </a:r>
            <a:r>
              <a:rPr lang="en-US" b="1">
                <a:solidFill>
                  <a:schemeClr val="tx1"/>
                </a:solidFill>
              </a:rPr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4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47-B041-8144-79DF0FD47D7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47-B041-8144-79DF0FD47D7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47-B041-8144-79DF0FD47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2624191"/>
        <c:axId val="1645498975"/>
      </c:lineChart>
      <c:catAx>
        <c:axId val="156262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498975"/>
        <c:crosses val="autoZero"/>
        <c:auto val="1"/>
        <c:lblAlgn val="ctr"/>
        <c:lblOffset val="100"/>
        <c:noMultiLvlLbl val="0"/>
      </c:catAx>
      <c:valAx>
        <c:axId val="1645498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624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4C-CC4E-9D33-BC1B21A61EE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4C-CC4E-9D33-BC1B21A61EE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4C-CC4E-9D33-BC1B21A61E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1944271"/>
        <c:axId val="1661624815"/>
      </c:lineChart>
      <c:catAx>
        <c:axId val="1661944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624815"/>
        <c:crosses val="autoZero"/>
        <c:auto val="1"/>
        <c:lblAlgn val="ctr"/>
        <c:lblOffset val="100"/>
        <c:noMultiLvlLbl val="0"/>
      </c:catAx>
      <c:valAx>
        <c:axId val="166162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944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04-FF46-B791-416267F663E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94-764A-8F37-665F0FC1679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94-764A-8F37-665F0FC1679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94-764A-8F37-665F0FC16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3047200"/>
        <c:axId val="232807392"/>
      </c:barChart>
      <c:catAx>
        <c:axId val="23304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807392"/>
        <c:crosses val="autoZero"/>
        <c:auto val="1"/>
        <c:lblAlgn val="ctr"/>
        <c:lblOffset val="100"/>
        <c:noMultiLvlLbl val="0"/>
      </c:catAx>
      <c:valAx>
        <c:axId val="23280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4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[Kickstarter_Challenge_Final.xlsx]Subcategory Statistics!PivotTable3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1F-D342-B606-0C6446AE251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29-F446-95CF-2ECD503FAFF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29-F446-95CF-2ECD503FA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63628880"/>
        <c:axId val="264033184"/>
      </c:barChart>
      <c:catAx>
        <c:axId val="26362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033184"/>
        <c:crosses val="autoZero"/>
        <c:auto val="1"/>
        <c:lblAlgn val="ctr"/>
        <c:lblOffset val="100"/>
        <c:noMultiLvlLbl val="0"/>
      </c:catAx>
      <c:valAx>
        <c:axId val="26403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62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D9-F54C-9C29-3F869C36637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E3F-6C4A-B3BF-2A8A7CBE275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E3F-6C4A-B3BF-2A8A7CBE275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E3F-6C4A-B3BF-2A8A7CBE2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3995280"/>
        <c:axId val="316519280"/>
      </c:lineChart>
      <c:catAx>
        <c:axId val="313995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519280"/>
        <c:crosses val="autoZero"/>
        <c:auto val="1"/>
        <c:lblAlgn val="ctr"/>
        <c:lblOffset val="100"/>
        <c:noMultiLvlLbl val="0"/>
      </c:catAx>
      <c:valAx>
        <c:axId val="31651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99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2</xdr:row>
      <xdr:rowOff>0</xdr:rowOff>
    </xdr:from>
    <xdr:to>
      <xdr:col>13</xdr:col>
      <xdr:colOff>38100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D62FA2-5033-1A4D-91EF-9D97B12129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14</xdr:row>
      <xdr:rowOff>12700</xdr:rowOff>
    </xdr:from>
    <xdr:to>
      <xdr:col>10</xdr:col>
      <xdr:colOff>12700</xdr:colOff>
      <xdr:row>35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74A13F-A3B8-2D4D-BD39-85CC0ED992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0</xdr:row>
      <xdr:rowOff>177800</xdr:rowOff>
    </xdr:from>
    <xdr:to>
      <xdr:col>12</xdr:col>
      <xdr:colOff>558800</xdr:colOff>
      <xdr:row>15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BE873C-2B1C-144D-A7F8-874835869B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0</xdr:row>
      <xdr:rowOff>139700</xdr:rowOff>
    </xdr:from>
    <xdr:to>
      <xdr:col>12</xdr:col>
      <xdr:colOff>520700</xdr:colOff>
      <xdr:row>15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F286BD-99B7-7F4C-BC01-7187140460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190500</xdr:colOff>
      <xdr:row>1</xdr:row>
      <xdr:rowOff>88900</xdr:rowOff>
    </xdr:from>
    <xdr:to>
      <xdr:col>13</xdr:col>
      <xdr:colOff>635000</xdr:colOff>
      <xdr:row>15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4C46EF-1515-4347-9887-2D36035546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8.739832407409" createdVersion="7" refreshedVersion="7" minRefreshableVersion="3" recordCount="4115" xr:uid="{251D1FB7-9E48-1D45-8844-1FBDCD6B8FEF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65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8.739832870371" createdVersion="7" refreshedVersion="7" minRefreshableVersion="3" recordCount="4115" xr:uid="{B649C6D2-589C-A141-AB7E-1994EB222B8D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27.408653472223" createdVersion="7" refreshedVersion="7" minRefreshableVersion="3" recordCount="4115" xr:uid="{44B2D53E-7053-394D-938D-C338806FFB0B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A0B82A-4388-824D-BB5F-E30C1281051B}" name="PivotTable8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97EBE6-CB60-2948-8D42-1EAE8B4A0DCA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918E40-ED66-224C-9705-C4738B82156F}" name="PivotTable3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1389A-9007-6947-A850-59F2EE4D496E}" name="PivotTable4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G7" sqref="G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20" width="26.33203125" style="16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  <c r="U1" s="1" t="s">
        <v>8367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ROUND((E2/D2)*100,0)</f>
        <v>137</v>
      </c>
      <c r="P2" s="9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ROUND((E3/D3)*100,0)</f>
        <v>143</v>
      </c>
      <c r="P3" s="9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9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9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9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9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9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9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9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9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9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9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9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9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9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9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9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9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9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9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9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9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9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9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9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9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9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9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9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9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9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9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9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9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9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9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9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9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9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9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9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9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9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9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9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9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9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9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9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9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9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9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9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9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9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9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9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9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9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ROUND((E67/D67)*100,0)</f>
        <v>108</v>
      </c>
      <c r="P67" s="9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9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9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9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9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9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9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9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9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9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9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9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9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9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9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9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9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9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9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9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9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9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9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9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9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9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9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9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9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9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9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9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9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9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9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9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9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9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9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9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9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9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9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9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9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9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9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9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9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9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9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9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9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9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9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9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 s="9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ROUND((E131/D131)*100,0)</f>
        <v>0</v>
      </c>
      <c r="P131" s="9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9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9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9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9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9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9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9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9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9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9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9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9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9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9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9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9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9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9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9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9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9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9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9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9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9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9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9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9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9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9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9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9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9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9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9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9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9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9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9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9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9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9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9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9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9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9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9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9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9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9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9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9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9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9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9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9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 s="9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ROUND((E195/D195)*100,0)</f>
        <v>0</v>
      </c>
      <c r="P195" s="9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9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9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9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9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9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9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9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9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9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9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9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9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9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9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9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9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9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9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9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9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9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9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9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9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9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9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9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9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9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9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9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9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9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9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9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9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9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9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9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9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9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9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9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9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9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9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9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9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9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9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9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9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9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9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9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9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 s="9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ROUND((E259/D259)*100,0)</f>
        <v>107</v>
      </c>
      <c r="P259" s="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9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9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9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9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9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9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9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9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9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9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9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9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9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9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9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9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9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9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9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9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9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9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9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9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9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9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9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9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9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9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9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9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9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9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9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9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9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9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9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9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9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9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9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9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9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9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9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9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9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9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9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9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9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9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9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9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 s="9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ROUND((E323/D323)*100,0)</f>
        <v>103</v>
      </c>
      <c r="P323" s="9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9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9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9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9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9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9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9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9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9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9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9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9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9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9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9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9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9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9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9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9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9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9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9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9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9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9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9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9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9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9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9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9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9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9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9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9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9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9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9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9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9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9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9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9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9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9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9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9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9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9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9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9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9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9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9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9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 s="9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ROUND((E387/D387)*100,0)</f>
        <v>106</v>
      </c>
      <c r="P387" s="9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9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9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9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9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9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9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9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9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9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9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9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9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9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9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9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9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9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9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9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9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9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9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9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9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9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9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9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9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9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9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9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9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9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9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9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9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9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9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9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9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9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9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9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9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9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9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9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9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9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9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9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9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9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9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9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 s="9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ROUND((E451/D451)*100,0)</f>
        <v>2</v>
      </c>
      <c r="P451" s="9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9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9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9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9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9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9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9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9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9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9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9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9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9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9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9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9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9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9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9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9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9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9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9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9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9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9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9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9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9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9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9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9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9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9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9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9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9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9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9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9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9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9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9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9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9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9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9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9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9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9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9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9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9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9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9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9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 s="9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ROUND((E515/D515)*100,0)</f>
        <v>14</v>
      </c>
      <c r="P515" s="9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9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9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9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9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9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9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9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9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9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9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9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9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9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9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9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9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9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9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9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9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9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9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9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9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9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9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9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9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9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9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9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9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9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9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9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9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9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9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9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9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9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9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9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9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9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9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9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9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9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9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9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9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9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9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9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9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 s="9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ROUND((E579/D579)*100,0)</f>
        <v>0</v>
      </c>
      <c r="P579" s="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9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9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9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9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9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9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9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9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9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9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9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9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9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9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9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9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9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9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9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9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9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9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9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9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9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9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9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9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9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9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9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9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9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9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9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9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9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9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9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9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9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9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9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9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9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9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9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9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9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9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9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9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9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9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9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9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 s="9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ROUND((E643/D643)*100,0)</f>
        <v>119</v>
      </c>
      <c r="P643" s="9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9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9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9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9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9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9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9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9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9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9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9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9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9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9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9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9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9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9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9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9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9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9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9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9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9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9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9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9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9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9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9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9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9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9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9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9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9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9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9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9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9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9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9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9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9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9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9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9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9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9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9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9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9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9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9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9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 s="9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ROUND((E707/D707)*100,0)</f>
        <v>1</v>
      </c>
      <c r="P707" s="9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9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9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9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9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9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9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9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9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9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9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9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9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9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9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9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9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9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9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9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9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9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9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9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9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9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9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9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9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9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9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9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9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9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9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9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9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9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9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9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9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9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9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9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9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9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9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9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9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9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9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9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9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9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9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9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s="9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ROUND((E771/D771)*100,0)</f>
        <v>41</v>
      </c>
      <c r="P771" s="9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9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9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9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9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9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9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9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9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9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9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9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9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9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9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9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9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9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9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9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9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9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9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9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9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9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9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9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9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9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9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9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9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9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9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9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9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9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9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9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9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9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9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9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9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9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9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9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9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9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9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9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9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9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9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9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9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 s="9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ROUND((E835/D835)*100,0)</f>
        <v>102</v>
      </c>
      <c r="P835" s="9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9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9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9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9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9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9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9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9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9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9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9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9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9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9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9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9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9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9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9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9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9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9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9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9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9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9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9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9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9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9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9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9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9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9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9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9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9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9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9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9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9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9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9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9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9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9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9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9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9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9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9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9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9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9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9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9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 s="9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ROUND((E899/D899)*100,0)</f>
        <v>0</v>
      </c>
      <c r="P899" s="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9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9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9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9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9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9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9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9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9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9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9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9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9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9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9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9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9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9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9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9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9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9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9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9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9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9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9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9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9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9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9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9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9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9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9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9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9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9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9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9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9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9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9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9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9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9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9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9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9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9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9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9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9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9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9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9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 s="9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ROUND((E963/D963)*100,0)</f>
        <v>42</v>
      </c>
      <c r="P963" s="9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9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9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9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9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9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9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9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9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9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9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9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9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9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9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9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9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9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9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9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9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9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9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9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9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9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9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9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9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9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9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9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9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9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9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9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9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9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9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9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9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9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9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9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9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9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9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9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9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9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9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9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9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9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9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9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9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 s="9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ROUND((E1027/D1027)*100,0)</f>
        <v>110</v>
      </c>
      <c r="P1027" s="9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9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9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9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9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9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9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9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9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9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9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9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9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9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9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9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9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9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9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9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9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9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9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9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9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9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9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9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9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9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9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9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9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9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9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9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9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9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9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9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9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9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9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9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9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9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9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9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9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9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9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9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9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9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9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9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 s="9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ROUND((E1091/D1091)*100,0)</f>
        <v>8</v>
      </c>
      <c r="P1091" s="9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9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9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9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9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9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9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9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9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9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9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9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9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9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9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9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9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9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9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9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9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9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9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9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9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9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9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9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9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9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9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9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9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9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9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9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9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9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9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9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9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9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9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9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9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9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9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9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9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9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9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9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9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9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9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9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9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 s="9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ROUND((E1155/D1155)*100,0)</f>
        <v>1</v>
      </c>
      <c r="P1155" s="9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9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9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9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9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9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9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9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9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9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9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9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9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9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9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9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9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9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9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9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9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9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9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9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9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9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9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9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9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9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9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9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9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9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9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9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9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9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9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9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9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9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9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9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9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9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9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9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9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9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9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9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9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9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9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9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9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 s="9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ROUND((E1219/D1219)*100,0)</f>
        <v>103</v>
      </c>
      <c r="P1219" s="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9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9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9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9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9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9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9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9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9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9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9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9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9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9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9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9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9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9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9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9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9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9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9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9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9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9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9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9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9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9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9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9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9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9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9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9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9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9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9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9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9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9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9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9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9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9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9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9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9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9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9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9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9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9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9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9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 s="9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ROUND((E1283/D1283)*100,0)</f>
        <v>111</v>
      </c>
      <c r="P1283" s="9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9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9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9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9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9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9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9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9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9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9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9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9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9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9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9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9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9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9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9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9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9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9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9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9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9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9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9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9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9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9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9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9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9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9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9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9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9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9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9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9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9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9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9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9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9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9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9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9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9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9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9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9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9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9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9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9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 s="9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ROUND((E1347/D1347)*100,0)</f>
        <v>125</v>
      </c>
      <c r="P1347" s="9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9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9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9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9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9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9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9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9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9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9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9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9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9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9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9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9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9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9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9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9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9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9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9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9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9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9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9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9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9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9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9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9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9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9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9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9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9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9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9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9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9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9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9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9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9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9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9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9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9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9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9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9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9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9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9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 s="9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ROUND((E1411/D1411)*100,0)</f>
        <v>0</v>
      </c>
      <c r="P1411" s="9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9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9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9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9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9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9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9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9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9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9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9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9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9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9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9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9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9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9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9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9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9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9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9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9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9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9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9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9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9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9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9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9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9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9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9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9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9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9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9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9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9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9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9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9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9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9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9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9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9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9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9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9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9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9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9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9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 s="9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ROUND((E1475/D1475)*100,0)</f>
        <v>121</v>
      </c>
      <c r="P1475" s="9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9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9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9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9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9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9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9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9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9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9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9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9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9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9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9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9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9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9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9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9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9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9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9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9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9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9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9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9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9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9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9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9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9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9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9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9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9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9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9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9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9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9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9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9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9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9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9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9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9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9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9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9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9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9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9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9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 s="9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ROUND((E1539/D1539)*100,0)</f>
        <v>180</v>
      </c>
      <c r="P1539" s="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9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9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9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9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9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9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9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9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9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9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9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9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9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9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9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9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9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9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9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9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9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9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9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9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9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9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9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9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9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9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9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9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9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9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9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9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9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9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9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9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9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9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9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9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9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9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9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9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9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9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9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9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9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9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9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9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 s="9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ROUND((E1603/D1603)*100,0)</f>
        <v>108</v>
      </c>
      <c r="P1603" s="9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9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9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9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9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9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9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9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9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9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9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9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9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9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9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9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9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9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9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9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9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9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9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9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9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9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9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9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9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9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9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9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9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9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9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9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9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9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9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9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9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9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9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9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9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9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9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9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9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9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9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9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9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9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9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9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9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 s="9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ROUND((E1667/D1667)*100,0)</f>
        <v>119</v>
      </c>
      <c r="P1667" s="9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9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9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9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9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9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9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9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9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9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9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9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9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9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9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9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9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9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9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9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9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9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9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9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9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9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9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9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9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9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9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9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9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9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9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9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9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9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9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9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9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9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9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9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9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9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9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9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9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9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9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9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9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9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9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9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 s="9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ROUND((E1731/D1731)*100,0)</f>
        <v>0</v>
      </c>
      <c r="P1731" s="9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9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9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9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9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9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9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9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9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9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9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9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9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9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9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9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9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9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9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9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9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9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9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9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9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9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9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9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9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9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9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9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9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9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9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9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9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9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9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9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9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9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9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9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9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9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9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9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9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9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9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9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9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9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9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9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9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 s="9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ROUND((E1795/D1795)*100,0)</f>
        <v>1</v>
      </c>
      <c r="P1795" s="9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9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9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9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9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9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9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9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9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9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9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9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9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9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9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9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9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9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9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9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9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9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9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9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9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9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9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9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9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9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9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9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9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9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9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9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9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9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9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9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9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9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9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9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9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9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9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9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9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9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9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9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9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9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9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9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9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 s="9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ROUND((E1859/D1859)*100,0)</f>
        <v>100</v>
      </c>
      <c r="P1859" s="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9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9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9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9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9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9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9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9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9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9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9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9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9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9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9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9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9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9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9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9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9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9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9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9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9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9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9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9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9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9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9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9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9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9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9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9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9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9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9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9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9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9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9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9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9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9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9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9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9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9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9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9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9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9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9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9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 s="9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ROUND((E1923/D1923)*100,0)</f>
        <v>137</v>
      </c>
      <c r="P1923" s="9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9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9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9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9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9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9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9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9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9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9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9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9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9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9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9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9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9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9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9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9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9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9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9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9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9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9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9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9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9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9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9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9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9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9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9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9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9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9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9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9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9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9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9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9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9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9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9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9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9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9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9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9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9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9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9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9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 s="9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ROUND((E1987/D1987)*100,0)</f>
        <v>3</v>
      </c>
      <c r="P1987" s="9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9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9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9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9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9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9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9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9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9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9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9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9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9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9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9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9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9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9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9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9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9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9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9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9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9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9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9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9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9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9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9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9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9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9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9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9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9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9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9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9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9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9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9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9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9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9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9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9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9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9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9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9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9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9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9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 s="9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ROUND((E2051/D2051)*100,0)</f>
        <v>120</v>
      </c>
      <c r="P2051" s="9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9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9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9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9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9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9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9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9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9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9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9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9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9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9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9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9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9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9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9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9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9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9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9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9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9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9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9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9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9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9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9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9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9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9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9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9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9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9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9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9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9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9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9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9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9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9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9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9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9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9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9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9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9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9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9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9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 s="9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ROUND((E2115/D2115)*100,0)</f>
        <v>105</v>
      </c>
      <c r="P2115" s="9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9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9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9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9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9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9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9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9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9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9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9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9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9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9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9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9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9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9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9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9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9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9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9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9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9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9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9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9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9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9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9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9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9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9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9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9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9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9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9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9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9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9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9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9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9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9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9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9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9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9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9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9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9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9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9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9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 s="9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ROUND((E2179/D2179)*100,0)</f>
        <v>100</v>
      </c>
      <c r="P2179" s="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9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9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9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9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9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9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9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9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9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9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9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9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9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9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9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9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9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9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9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9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9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9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9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9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9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9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9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9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9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9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9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9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9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9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9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9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9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9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9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9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9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9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9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9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9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9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9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9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9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9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9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9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9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9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9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9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 s="9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ROUND((E2243/D2243)*100,0)</f>
        <v>806</v>
      </c>
      <c r="P2243" s="9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9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9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9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9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9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9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9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9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9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9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9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9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9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9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9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9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9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9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9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9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9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9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9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9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9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9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9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9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9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9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9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9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9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9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9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9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9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9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9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9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9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9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9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9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9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9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9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9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9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9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9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9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9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9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9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9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 s="9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ROUND((E2307/D2307)*100,0)</f>
        <v>101</v>
      </c>
      <c r="P2307" s="9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9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9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9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9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9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9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9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9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9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9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9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9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9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9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9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9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9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9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9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9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9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9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9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9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9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9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9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9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9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9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9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9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9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9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9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9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9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9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9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9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9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9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9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9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9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9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9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9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9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9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9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9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9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9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9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 s="9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ROUND((E2371/D2371)*100,0)</f>
        <v>0</v>
      </c>
      <c r="P2371" s="9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9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9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9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9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9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9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9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9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9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9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9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9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9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9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9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9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9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9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9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9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9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9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9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9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9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9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9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9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9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9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9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9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9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9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9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9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9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9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9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9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9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9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9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9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9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9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9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9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9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9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9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9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9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9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9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9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 s="9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ROUND((E2435/D2435)*100,0)</f>
        <v>0</v>
      </c>
      <c r="P2435" s="9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9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9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9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9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9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9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9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9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9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9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9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9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9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9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9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9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9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9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9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9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9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9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9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9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9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9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9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9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9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9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9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9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9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9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9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9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9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9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9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9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9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9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9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9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9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9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9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9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9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9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9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9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9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9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9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9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 s="9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ROUND((E2499/D2499)*100,0)</f>
        <v>113</v>
      </c>
      <c r="P2499" s="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9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9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9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9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9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9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9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9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9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9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9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9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9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9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9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9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9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9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9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9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9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9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9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9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9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9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9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9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9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9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9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9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9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9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9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9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9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9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9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9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9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9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9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9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9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9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9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9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9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9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9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9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9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9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9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9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 s="9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ROUND((E2563/D2563)*100,0)</f>
        <v>0</v>
      </c>
      <c r="P2563" s="9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9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9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9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9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9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9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9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9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9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9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9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9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9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9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9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9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9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9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9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9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9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9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9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9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9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9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9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9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9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9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9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9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9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9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9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9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9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9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9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9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9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9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9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9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9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9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9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9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9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9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9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9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9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9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9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9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 s="9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ROUND((E2627/D2627)*100,0)</f>
        <v>956</v>
      </c>
      <c r="P2627" s="9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9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9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9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9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9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9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9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9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9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9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9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9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9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9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9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9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9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9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9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9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9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9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9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9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9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9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9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9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9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9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9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9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9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9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9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9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9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9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9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9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9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9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9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9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9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9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9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9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9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9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9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9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9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9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9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 s="9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ROUND((E2691/D2691)*100,0)</f>
        <v>0</v>
      </c>
      <c r="P2691" s="9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9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9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9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9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9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9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9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9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9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9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9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9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9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9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9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9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9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9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9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9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9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9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9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9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9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9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9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9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9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9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9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9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9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9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9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9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9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9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9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9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9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9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9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9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9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9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9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9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9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9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9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9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9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9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9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9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 s="9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ROUND((E2755/D2755)*100,0)</f>
        <v>19</v>
      </c>
      <c r="P2755" s="9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9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9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9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9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9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9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9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9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9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9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9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9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9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9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9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9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9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9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9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9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9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9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9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9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9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9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9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9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9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9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9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9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9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9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9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9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9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9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9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9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9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9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9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9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9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9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9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9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9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9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9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9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9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9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9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9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 s="9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ROUND((E2819/D2819)*100,0)</f>
        <v>130</v>
      </c>
      <c r="P2819" s="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9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9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9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9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9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9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9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9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9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9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9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9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9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9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9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9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9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9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9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9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9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9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9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9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9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9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9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9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9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9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9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9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9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9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9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9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9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9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9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9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9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9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9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9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9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9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9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9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9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9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9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9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9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9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9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9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 s="9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ROUND((E2883/D2883)*100,0)</f>
        <v>0</v>
      </c>
      <c r="P2883" s="9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9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9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9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9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9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9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9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9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9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9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9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9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9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9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9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9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9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9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9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9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9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9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9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9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9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9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9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9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9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9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9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9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9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9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9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9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9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9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9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9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9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9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9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9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9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9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9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9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9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9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9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9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9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9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9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9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 s="9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ROUND((E2947/D2947)*100,0)</f>
        <v>0</v>
      </c>
      <c r="P2947" s="9">
        <f t="shared" ref="P2947:P3010" si="231">IFERROR(ROUND(E2947/L2947,2),0)</f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9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9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9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9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9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9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9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9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9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9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9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9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9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9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9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9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9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9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9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9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9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9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9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9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9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9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9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9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9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9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9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9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9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9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9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9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9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9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9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9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9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9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9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9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9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9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9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9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9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9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9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9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9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9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9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 s="9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ROUND((E3011/D3011)*100,0)</f>
        <v>120</v>
      </c>
      <c r="P3011" s="9">
        <f t="shared" ref="P3011:P3074" si="236">IFERROR(ROUND(E3011/L3011,2),0)</f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9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9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9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9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9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9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9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9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9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9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9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9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9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9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9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9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9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9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9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9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9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9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9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9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9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9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9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9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9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9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9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9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9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9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9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9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9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9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9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9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9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9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9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9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9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9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9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9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9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9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9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9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9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9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9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9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 s="9">
        <f t="shared" si="236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ROUND((E3075/D3075)*100,0)</f>
        <v>0</v>
      </c>
      <c r="P3075" s="9">
        <f t="shared" ref="P3075:P3138" si="241">IFERROR(ROUND(E3075/L3075,2),0)</f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9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9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9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9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9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9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9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9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9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9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9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9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9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9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9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9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9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9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9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9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9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9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9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9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9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9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9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9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9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9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9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9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9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9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9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9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9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9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9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9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9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9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9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9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9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9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9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9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9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9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9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9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9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9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9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9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 s="9">
        <f t="shared" si="241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ROUND((E3139/D3139)*100,0)</f>
        <v>3</v>
      </c>
      <c r="P3139" s="9">
        <f t="shared" ref="P3139:P3202" si="246">IFERROR(ROUND(E3139/L3139,2),0)</f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9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9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9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9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9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9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9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9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9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9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9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9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9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9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9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9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9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9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9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9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9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9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9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9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9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9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9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9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9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9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9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9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9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9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9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9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9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9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9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9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9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9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9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9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9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9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9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9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9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9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9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9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9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9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9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9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 s="9">
        <f t="shared" si="246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ROUND((E3203/D3203)*100,0)</f>
        <v>1</v>
      </c>
      <c r="P3203" s="9">
        <f t="shared" ref="P3203:P3266" si="251">IFERROR(ROUND(E3203/L3203,2),0)</f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9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9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9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9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9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9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9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9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9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9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9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9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9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9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9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9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9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9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9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9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9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9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9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9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9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9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9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9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9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9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9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9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9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9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9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9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9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9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9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9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9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9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9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9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9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9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9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9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9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9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9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9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9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9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9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9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 s="9">
        <f t="shared" si="251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ROUND((E3267/D3267)*100,0)</f>
        <v>164</v>
      </c>
      <c r="P3267" s="9">
        <f t="shared" ref="P3267:P3330" si="256">IFERROR(ROUND(E3267/L3267,2),0)</f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9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9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9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9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9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9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9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9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9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9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9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9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9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9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9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9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9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9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9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9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9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9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9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9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9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9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9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9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9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9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9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9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9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9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9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9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9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9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9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9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9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9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9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9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9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9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9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9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9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9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9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9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9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9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9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 s="9">
        <f t="shared" si="256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ROUND((E3331/D3331)*100,0)</f>
        <v>117</v>
      </c>
      <c r="P3331" s="9">
        <f t="shared" ref="P3331:P3394" si="261">IFERROR(ROUND(E3331/L3331,2),0)</f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9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9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9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9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9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9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9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9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9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9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9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9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9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9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9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9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9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9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9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9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9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9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9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9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9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9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9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9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9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9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9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9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9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9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9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9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9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9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9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9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9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9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9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9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9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9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9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9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9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9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9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9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9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9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9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9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 s="9">
        <f t="shared" si="261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ROUND((E3395/D3395)*100,0)</f>
        <v>106</v>
      </c>
      <c r="P3395" s="9">
        <f t="shared" ref="P3395:P3458" si="266">IFERROR(ROUND(E3395/L3395,2),0)</f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9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9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9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9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9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9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9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9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9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9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9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9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9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9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9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9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9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9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9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9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9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9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9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9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9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9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9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9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9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9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9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9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9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9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9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9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9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9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9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9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9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9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9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9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9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9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9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9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9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9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9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9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9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9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9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9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 s="9">
        <f t="shared" si="266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ROUND((E3459/D3459)*100,0)</f>
        <v>140</v>
      </c>
      <c r="P3459" s="9">
        <f t="shared" ref="P3459:P3522" si="271">IFERROR(ROUND(E3459/L3459,2),0)</f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9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9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9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9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9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9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9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9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9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9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9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9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9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9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9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9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9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9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9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9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9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9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9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9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9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9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9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9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9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9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9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9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9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9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9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9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9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9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9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9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9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9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9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9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9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9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9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9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9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9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9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9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9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9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9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9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 s="9">
        <f t="shared" si="271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ROUND((E3523/D3523)*100,0)</f>
        <v>169</v>
      </c>
      <c r="P3523" s="9">
        <f t="shared" ref="P3523:P3586" si="276">IFERROR(ROUND(E3523/L3523,2),0)</f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9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9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9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9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9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9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9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9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9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9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9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9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9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9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9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9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9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9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9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9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9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9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9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9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9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9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9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9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9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9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9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9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9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9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9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9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9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9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9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9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9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9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9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9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9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9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9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9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9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9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9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9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9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9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9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9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 s="9">
        <f t="shared" si="276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ROUND((E3587/D3587)*100,0)</f>
        <v>119</v>
      </c>
      <c r="P3587" s="9">
        <f t="shared" ref="P3587:P3650" si="281">IFERROR(ROUND(E3587/L3587,2),0)</f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9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9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9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9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9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9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9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9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9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9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9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9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9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9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9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9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9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9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9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9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9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9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9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9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9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9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9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9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9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9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9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9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9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9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9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9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9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9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9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9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9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9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9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9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9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9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9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9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9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9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9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9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9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9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9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 s="9">
        <f t="shared" si="281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ROUND((E3651/D3651)*100,0)</f>
        <v>104</v>
      </c>
      <c r="P3651" s="9">
        <f t="shared" ref="P3651:P3714" si="286">IFERROR(ROUND(E3651/L3651,2),0)</f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9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9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9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9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9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9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9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9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9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9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9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9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9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9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9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9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9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9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9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9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9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9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9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9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9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9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9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9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9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9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9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9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9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9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9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9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9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9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9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9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9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9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9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9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9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9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9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9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9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9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9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9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9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9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9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9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 s="9">
        <f t="shared" si="286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ROUND((E3715/D3715)*100,0)</f>
        <v>102</v>
      </c>
      <c r="P3715" s="9">
        <f t="shared" ref="P3715:P3778" si="291">IFERROR(ROUND(E3715/L3715,2),0)</f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9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9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9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9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9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9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9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9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9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9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9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9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9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9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9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9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9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9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9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9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9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9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9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9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9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9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9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9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9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9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9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9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9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9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9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9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9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9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9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9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9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9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9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9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9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9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9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9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9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9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9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9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9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9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9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9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 s="9">
        <f t="shared" si="291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ROUND((E3779/D3779)*100,0)</f>
        <v>143</v>
      </c>
      <c r="P3779" s="9">
        <f t="shared" ref="P3779:P3842" si="296">IFERROR(ROUND(E3779/L3779,2),0)</f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9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9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9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9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9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9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9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9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9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9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9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9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9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9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9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9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9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9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9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9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9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9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9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9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9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9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9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9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9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9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9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9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9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9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9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9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9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9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9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9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9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9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9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9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9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9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9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9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9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9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9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9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9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9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9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9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 s="9">
        <f t="shared" si="296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ROUND((E3843/D3843)*100,0)</f>
        <v>9</v>
      </c>
      <c r="P3843" s="9">
        <f t="shared" ref="P3843:P3906" si="301">IFERROR(ROUND(E3843/L3843,2),0)</f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9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9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9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9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9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9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9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9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9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9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9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9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9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9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9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9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9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9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9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9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9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9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9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9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9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9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9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9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9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9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9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9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9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9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9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9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9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9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9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9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9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9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9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9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9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9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9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9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9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9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9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9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9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9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9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9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 s="9">
        <f t="shared" si="301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ROUND((E3907/D3907)*100,0)</f>
        <v>12</v>
      </c>
      <c r="P3907" s="9">
        <f t="shared" ref="P3907:P3970" si="306">IFERROR(ROUND(E3907/L3907,2),0)</f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9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9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9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9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9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9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9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9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9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9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9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9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9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9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9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9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9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9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9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9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9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9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9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9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9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9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9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9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9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9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9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9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9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9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9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9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9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9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9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9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9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9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9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9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9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9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9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9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9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9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9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9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9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9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9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 s="9">
        <f t="shared" si="306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ROUND((E3971/D3971)*100,0)</f>
        <v>7</v>
      </c>
      <c r="P3971" s="9">
        <f t="shared" ref="P3971:P4034" si="311">IFERROR(ROUND(E3971/L3971,2),0)</f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9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9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9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9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9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9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9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9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9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9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9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9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9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9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9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9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9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9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9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9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9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9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9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9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9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9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9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9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9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9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9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9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9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9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9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9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9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9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9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9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9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9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9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9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9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9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9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9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9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9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9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9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9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9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9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9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 s="9">
        <f t="shared" si="311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ROUND((E4035/D4035)*100,0)</f>
        <v>26</v>
      </c>
      <c r="P4035" s="9">
        <f t="shared" ref="P4035:P4098" si="316">IFERROR(ROUND(E4035/L4035,2),0)</f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9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9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9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9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9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9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9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9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9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9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9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9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9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9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9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9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9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9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9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9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9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9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9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9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9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9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9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9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9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9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9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9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9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9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9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9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9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9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9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9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9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9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9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9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9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9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9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9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9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9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9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9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9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9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9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9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9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 s="9">
        <f t="shared" si="316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ROUND((E4099/D4099)*100,0)</f>
        <v>0</v>
      </c>
      <c r="P4099" s="9">
        <f t="shared" ref="P4099:P4115" si="321">IFERROR(ROUND(E4099/L4099,2),0)</f>
        <v>0</v>
      </c>
      <c r="Q4099" s="11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9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9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9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9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9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9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9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9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9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9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9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9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9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9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9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E6B72"/>
        <color theme="4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ACEB8-F63B-7A4F-97FB-095FF735142D}">
  <dimension ref="A1:E18"/>
  <sheetViews>
    <sheetView workbookViewId="0">
      <selection activeCell="J22" sqref="J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8367</v>
      </c>
      <c r="B2" t="s">
        <v>8363</v>
      </c>
    </row>
    <row r="4" spans="1:5" x14ac:dyDescent="0.2">
      <c r="A4" s="12" t="s">
        <v>8362</v>
      </c>
      <c r="B4" s="12" t="s">
        <v>8364</v>
      </c>
    </row>
    <row r="5" spans="1:5" x14ac:dyDescent="0.2">
      <c r="A5" s="12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3" t="s">
        <v>8368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3" t="s">
        <v>8369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3" t="s">
        <v>8370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3" t="s">
        <v>8371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3" t="s">
        <v>8372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3" t="s">
        <v>8373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3" t="s">
        <v>8374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3" t="s">
        <v>8375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3" t="s">
        <v>8376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3" t="s">
        <v>8377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3" t="s">
        <v>8378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3" t="s">
        <v>8379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3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3316E-D6F4-EE41-A925-6CAF358DF3B4}">
  <dimension ref="A1:H13"/>
  <sheetViews>
    <sheetView workbookViewId="0">
      <selection activeCell="G2" sqref="G2"/>
    </sheetView>
  </sheetViews>
  <sheetFormatPr baseColWidth="10" defaultRowHeight="15" x14ac:dyDescent="0.2"/>
  <cols>
    <col min="1" max="1" width="13.5" bestFit="1" customWidth="1"/>
    <col min="2" max="2" width="15.6640625" bestFit="1" customWidth="1"/>
    <col min="3" max="3" width="12.5" bestFit="1" customWidth="1"/>
    <col min="4" max="4" width="15.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8.1640625" bestFit="1" customWidth="1"/>
  </cols>
  <sheetData>
    <row r="1" spans="1:8" s="17" customFormat="1" x14ac:dyDescent="0.2">
      <c r="A1" s="1" t="s">
        <v>8382</v>
      </c>
      <c r="B1" s="1" t="s">
        <v>8386</v>
      </c>
      <c r="C1" s="1" t="s">
        <v>8387</v>
      </c>
      <c r="D1" s="1" t="s">
        <v>8388</v>
      </c>
      <c r="E1" s="1" t="s">
        <v>8389</v>
      </c>
      <c r="F1" s="1" t="s">
        <v>8390</v>
      </c>
      <c r="G1" s="1" t="s">
        <v>8391</v>
      </c>
      <c r="H1" s="1" t="s">
        <v>8392</v>
      </c>
    </row>
    <row r="2" spans="1:8" x14ac:dyDescent="0.2">
      <c r="A2" t="s">
        <v>8404</v>
      </c>
      <c r="B2">
        <f>COUNTIFS(Kickstarter!$F:$F,"successful",Kickstarter!$R:$R,"plays",Kickstarter!$D:$D,"&gt;0",Kickstarter!$D:$D,"&lt;1000")</f>
        <v>141</v>
      </c>
      <c r="C2">
        <f>COUNTIFS(Kickstarter!$F:$F,"failed",Kickstarter!$R:$R,"plays",Kickstarter!$D:$D,"&gt;0",Kickstarter!$D:$D,"&lt;1000")</f>
        <v>45</v>
      </c>
      <c r="D2">
        <f>COUNTIFS(Kickstarter!$F:$F,"cancelled",Kickstarter!$R:$R,"plays",Kickstarter!$D:$D,"&gt;0",Kickstarter!$D:$D,"&lt;1000")</f>
        <v>0</v>
      </c>
      <c r="E2">
        <f>SUM(B2:D2)</f>
        <v>186</v>
      </c>
      <c r="F2" s="18">
        <f>B2/$E2</f>
        <v>0.75806451612903225</v>
      </c>
      <c r="G2" s="18">
        <f t="shared" ref="G2:H2" si="0">C2/$E2</f>
        <v>0.24193548387096775</v>
      </c>
      <c r="H2" s="18">
        <f t="shared" si="0"/>
        <v>0</v>
      </c>
    </row>
    <row r="3" spans="1:8" x14ac:dyDescent="0.2">
      <c r="A3" t="s">
        <v>8393</v>
      </c>
      <c r="B3">
        <f>COUNTIFS(Kickstarter!$F:$F,"successful",Kickstarter!$R:$R,"plays",Kickstarter!$D:$D,"&gt;=1000",Kickstarter!$D:$D,"&lt;5000")</f>
        <v>388</v>
      </c>
      <c r="C3">
        <f>COUNTIFS(Kickstarter!$F:$F,"failed",Kickstarter!$R:$R,"plays",Kickstarter!$D:$D,"&gt;=1000",Kickstarter!$D:$D,"&lt;5000")</f>
        <v>146</v>
      </c>
      <c r="D3">
        <f>COUNTIFS(Kickstarter!$F:$F,"cancelled",Kickstarter!$R:$R,"plays",Kickstarter!$D:$D,"&gt;=1000",Kickstarter!$D:$D,"&lt;5000")</f>
        <v>0</v>
      </c>
      <c r="E3">
        <f t="shared" ref="E3:E13" si="1">SUM(B3:D3)</f>
        <v>534</v>
      </c>
      <c r="F3" s="18">
        <f t="shared" ref="F3:F13" si="2">B3/$E3</f>
        <v>0.72659176029962547</v>
      </c>
      <c r="G3" s="18">
        <f t="shared" ref="G3:G13" si="3">C3/$E3</f>
        <v>0.27340823970037453</v>
      </c>
      <c r="H3" s="18">
        <f t="shared" ref="H3:H13" si="4">D3/$E3</f>
        <v>0</v>
      </c>
    </row>
    <row r="4" spans="1:8" x14ac:dyDescent="0.2">
      <c r="A4" t="s">
        <v>8394</v>
      </c>
      <c r="B4">
        <f>COUNTIFS(Kickstarter!$F:$F,"successful",Kickstarter!$R:$R,"plays",Kickstarter!$D:$D,"&gt;=5000",Kickstarter!$D:$D,"&lt;10000")</f>
        <v>93</v>
      </c>
      <c r="C4">
        <f>COUNTIFS(Kickstarter!$F:$F,"failed",Kickstarter!$R:$R,"plays",Kickstarter!$D:$D,"&gt;=5000",Kickstarter!$D:$D,"&lt;10000")</f>
        <v>76</v>
      </c>
      <c r="D4">
        <f>COUNTIFS(Kickstarter!$F:$F,"cancelled",Kickstarter!$R:$R,"plays",Kickstarter!$D:$D,"&gt;=5000",Kickstarter!$D:$D,"&lt;10000")</f>
        <v>0</v>
      </c>
      <c r="E4">
        <f t="shared" si="1"/>
        <v>169</v>
      </c>
      <c r="F4" s="18">
        <f t="shared" si="2"/>
        <v>0.55029585798816572</v>
      </c>
      <c r="G4" s="18">
        <f t="shared" si="3"/>
        <v>0.44970414201183434</v>
      </c>
      <c r="H4" s="18">
        <f t="shared" si="4"/>
        <v>0</v>
      </c>
    </row>
    <row r="5" spans="1:8" x14ac:dyDescent="0.2">
      <c r="A5" t="s">
        <v>8395</v>
      </c>
      <c r="B5">
        <f>COUNTIFS(Kickstarter!$F:$F,"successful",Kickstarter!$R:$R,"plays",Kickstarter!$D:$D,"&gt;=10000",Kickstarter!$D:$D,"&lt;15000")</f>
        <v>39</v>
      </c>
      <c r="C5">
        <f>COUNTIFS(Kickstarter!$F:$F,"failed",Kickstarter!$R:$R,"plays",Kickstarter!$D:$D,"&gt;=10000",Kickstarter!$D:$D,"&lt;15000")</f>
        <v>33</v>
      </c>
      <c r="D5">
        <f>COUNTIFS(Kickstarter!$F:$F,"cancelled",Kickstarter!$R:$R,"plays",Kickstarter!$D:$D,"&gt;=10000",Kickstarter!$D:$D,"&lt;15000")</f>
        <v>0</v>
      </c>
      <c r="E5">
        <f t="shared" si="1"/>
        <v>72</v>
      </c>
      <c r="F5" s="18">
        <f t="shared" si="2"/>
        <v>0.54166666666666663</v>
      </c>
      <c r="G5" s="18">
        <f t="shared" si="3"/>
        <v>0.45833333333333331</v>
      </c>
      <c r="H5" s="18">
        <f t="shared" si="4"/>
        <v>0</v>
      </c>
    </row>
    <row r="6" spans="1:8" x14ac:dyDescent="0.2">
      <c r="A6" t="s">
        <v>8396</v>
      </c>
      <c r="B6">
        <f>COUNTIFS(Kickstarter!$F:$F,"successful",Kickstarter!$R:$R,"plays",Kickstarter!$D:$D,"&gt;=15000",Kickstarter!$D:$D,"&lt;20000")</f>
        <v>12</v>
      </c>
      <c r="C6">
        <f>COUNTIFS(Kickstarter!$F:$F,"failed",Kickstarter!$R:$R,"plays",Kickstarter!$D:$D,"&gt;=15000",Kickstarter!$D:$D,"&lt;20000")</f>
        <v>12</v>
      </c>
      <c r="D6">
        <f>COUNTIFS(Kickstarter!$F:$F,"cancelled",Kickstarter!$R:$R,"plays",Kickstarter!$D:$D,"&gt;=15000",Kickstarter!$D:$D,"&lt;20000")</f>
        <v>0</v>
      </c>
      <c r="E6">
        <f t="shared" si="1"/>
        <v>24</v>
      </c>
      <c r="F6" s="18">
        <f t="shared" si="2"/>
        <v>0.5</v>
      </c>
      <c r="G6" s="18">
        <f t="shared" si="3"/>
        <v>0.5</v>
      </c>
      <c r="H6" s="18">
        <f t="shared" si="4"/>
        <v>0</v>
      </c>
    </row>
    <row r="7" spans="1:8" x14ac:dyDescent="0.2">
      <c r="A7" t="s">
        <v>8397</v>
      </c>
      <c r="B7">
        <f>COUNTIFS(Kickstarter!$F:$F,"successful",Kickstarter!$R:$R,"plays",Kickstarter!$D:$D,"&gt;=20000",Kickstarter!$D:$D,"&lt;25000")</f>
        <v>9</v>
      </c>
      <c r="C7">
        <f>COUNTIFS(Kickstarter!$F:$F,"failed",Kickstarter!$R:$R,"plays",Kickstarter!$D:$D,"&gt;=20000",Kickstarter!$D:$D,"&lt;25000")</f>
        <v>11</v>
      </c>
      <c r="D7">
        <f>COUNTIFS(Kickstarter!$F:$F,"cancelled",Kickstarter!$R:$R,"plays",Kickstarter!$D:$D,"&gt;=20000",Kickstarter!$D:$D,"&lt;25000")</f>
        <v>0</v>
      </c>
      <c r="E7">
        <f t="shared" si="1"/>
        <v>20</v>
      </c>
      <c r="F7" s="18">
        <f t="shared" si="2"/>
        <v>0.45</v>
      </c>
      <c r="G7" s="18">
        <f t="shared" si="3"/>
        <v>0.55000000000000004</v>
      </c>
      <c r="H7" s="18">
        <f t="shared" si="4"/>
        <v>0</v>
      </c>
    </row>
    <row r="8" spans="1:8" x14ac:dyDescent="0.2">
      <c r="A8" t="s">
        <v>8398</v>
      </c>
      <c r="B8">
        <f>COUNTIFS(Kickstarter!$F:$F,"successful",Kickstarter!$R:$R,"plays",Kickstarter!$D:$D,"&gt;=25000",Kickstarter!$D:$D,"&lt;30000")</f>
        <v>1</v>
      </c>
      <c r="C8">
        <f>COUNTIFS(Kickstarter!$F:$F,"failed",Kickstarter!$R:$R,"plays",Kickstarter!$D:$D,"&gt;=25000",Kickstarter!$D:$D,"&lt;30000")</f>
        <v>4</v>
      </c>
      <c r="D8">
        <f>COUNTIFS(Kickstarter!$F:$F,"cancelled",Kickstarter!$R:$R,"plays",Kickstarter!$D:$D,"&gt;=25000",Kickstarter!$D:$D,"&lt;30000")</f>
        <v>0</v>
      </c>
      <c r="E8">
        <f t="shared" si="1"/>
        <v>5</v>
      </c>
      <c r="F8" s="18">
        <f t="shared" si="2"/>
        <v>0.2</v>
      </c>
      <c r="G8" s="18">
        <f t="shared" si="3"/>
        <v>0.8</v>
      </c>
      <c r="H8" s="18">
        <f t="shared" si="4"/>
        <v>0</v>
      </c>
    </row>
    <row r="9" spans="1:8" x14ac:dyDescent="0.2">
      <c r="A9" t="s">
        <v>8399</v>
      </c>
      <c r="B9">
        <f>COUNTIFS(Kickstarter!$F:$F,"successful",Kickstarter!$R:$R,"plays",Kickstarter!$D:$D,"&gt;=30000",Kickstarter!$D:$D,"&lt;35000")</f>
        <v>3</v>
      </c>
      <c r="C9">
        <f>COUNTIFS(Kickstarter!$F:$F,"failed",Kickstarter!$R:$R,"plays",Kickstarter!$D:$D,"&gt;=30000",Kickstarter!$D:$D,"&lt;35000")</f>
        <v>8</v>
      </c>
      <c r="D9">
        <f>COUNTIFS(Kickstarter!$F:$F,"cancelled",Kickstarter!$R:$R,"plays",Kickstarter!$D:$D,"&gt;=30000",Kickstarter!$D:$D,"&lt;35000")</f>
        <v>0</v>
      </c>
      <c r="E9">
        <f t="shared" si="1"/>
        <v>11</v>
      </c>
      <c r="F9" s="18">
        <f t="shared" si="2"/>
        <v>0.27272727272727271</v>
      </c>
      <c r="G9" s="18">
        <f t="shared" si="3"/>
        <v>0.72727272727272729</v>
      </c>
      <c r="H9" s="18">
        <f t="shared" si="4"/>
        <v>0</v>
      </c>
    </row>
    <row r="10" spans="1:8" x14ac:dyDescent="0.2">
      <c r="A10" t="s">
        <v>8400</v>
      </c>
      <c r="B10">
        <f>COUNTIFS(Kickstarter!$F:$F,"successful",Kickstarter!$R:$R,"plays",Kickstarter!$D:$D,"&gt;=35000",Kickstarter!$D:$D,"&lt;40000")</f>
        <v>4</v>
      </c>
      <c r="C10">
        <f>COUNTIFS(Kickstarter!$F:$F,"failed",Kickstarter!$R:$R,"plays",Kickstarter!$D:$D,"&gt;=35000",Kickstarter!$D:$D,"&lt;40000")</f>
        <v>2</v>
      </c>
      <c r="D10">
        <f>COUNTIFS(Kickstarter!$F:$F,"cancelled",Kickstarter!$R:$R,"plays",Kickstarter!$D:$D,"&gt;=35000",Kickstarter!$D:$D,"&lt;40000")</f>
        <v>0</v>
      </c>
      <c r="E10">
        <f t="shared" si="1"/>
        <v>6</v>
      </c>
      <c r="F10" s="18">
        <f t="shared" si="2"/>
        <v>0.66666666666666663</v>
      </c>
      <c r="G10" s="18">
        <f t="shared" si="3"/>
        <v>0.33333333333333331</v>
      </c>
      <c r="H10" s="18">
        <f t="shared" si="4"/>
        <v>0</v>
      </c>
    </row>
    <row r="11" spans="1:8" x14ac:dyDescent="0.2">
      <c r="A11" t="s">
        <v>8401</v>
      </c>
      <c r="B11">
        <f>COUNTIFS(Kickstarter!$F:$F,"successful",Kickstarter!$R:$R,"plays",Kickstarter!$D:$D,"&gt;=40000",Kickstarter!$D:$D,"&lt;45000")</f>
        <v>2</v>
      </c>
      <c r="C11">
        <f>COUNTIFS(Kickstarter!$F:$F,"failed",Kickstarter!$R:$R,"plays",Kickstarter!$D:$D,"&gt;=40000",Kickstarter!$D:$D,"&lt;45000")</f>
        <v>1</v>
      </c>
      <c r="D11">
        <f>COUNTIFS(Kickstarter!$F:$F,"cancelled",Kickstarter!$R:$R,"plays",Kickstarter!$D:$D,"&gt;=40000",Kickstarter!$D:$D,"&lt;45000")</f>
        <v>0</v>
      </c>
      <c r="E11">
        <f t="shared" si="1"/>
        <v>3</v>
      </c>
      <c r="F11" s="18">
        <f t="shared" si="2"/>
        <v>0.66666666666666663</v>
      </c>
      <c r="G11" s="18">
        <f t="shared" si="3"/>
        <v>0.33333333333333331</v>
      </c>
      <c r="H11" s="18">
        <f t="shared" si="4"/>
        <v>0</v>
      </c>
    </row>
    <row r="12" spans="1:8" x14ac:dyDescent="0.2">
      <c r="A12" t="s">
        <v>8402</v>
      </c>
      <c r="B12">
        <f>COUNTIFS(Kickstarter!$F:$F,"successful",Kickstarter!$R:$R,"plays",Kickstarter!$D:$D,"&gt;=45000",Kickstarter!$D:$D,"&lt;50000")</f>
        <v>0</v>
      </c>
      <c r="C12">
        <f>COUNTIFS(Kickstarter!$F:$F,"failed",Kickstarter!$R:$R,"plays",Kickstarter!$D:$D,"&gt;=45000",Kickstarter!$D:$D,"&lt;50000")</f>
        <v>1</v>
      </c>
      <c r="D12">
        <f>COUNTIFS(Kickstarter!$F:$F,"cancelled",Kickstarter!$R:$R,"plays",Kickstarter!$D:$D,"&gt;=45000",Kickstarter!$D:$D,"&lt;50000")</f>
        <v>0</v>
      </c>
      <c r="E12">
        <f t="shared" si="1"/>
        <v>1</v>
      </c>
      <c r="F12" s="18">
        <f t="shared" si="2"/>
        <v>0</v>
      </c>
      <c r="G12" s="18">
        <f t="shared" si="3"/>
        <v>1</v>
      </c>
      <c r="H12" s="18">
        <f t="shared" si="4"/>
        <v>0</v>
      </c>
    </row>
    <row r="13" spans="1:8" x14ac:dyDescent="0.2">
      <c r="A13" t="s">
        <v>8403</v>
      </c>
      <c r="B13">
        <f>COUNTIFS(Kickstarter!$F:$F,"successful",Kickstarter!$R:$R,"plays",Kickstarter!$D:$D,"&gt;=50000")</f>
        <v>2</v>
      </c>
      <c r="C13">
        <f>COUNTIFS(Kickstarter!$F:$F,"failed",Kickstarter!$R:$R,"plays",Kickstarter!$D:$D,"&gt;=50000")</f>
        <v>14</v>
      </c>
      <c r="D13">
        <f>COUNTIFS(Kickstarter!$F:$F,"cancelled",Kickstarter!$R:$R,"plays",Kickstarter!$D:$D,"&gt;=50000")</f>
        <v>0</v>
      </c>
      <c r="E13">
        <f t="shared" si="1"/>
        <v>16</v>
      </c>
      <c r="F13" s="18">
        <f t="shared" si="2"/>
        <v>0.125</v>
      </c>
      <c r="G13" s="18">
        <f t="shared" si="3"/>
        <v>0.875</v>
      </c>
      <c r="H13" s="18">
        <f t="shared" si="4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CF9BC-CA8C-FC40-AA21-A7B389BDF65A}">
  <dimension ref="A1:F6"/>
  <sheetViews>
    <sheetView workbookViewId="0">
      <selection activeCell="I27" sqref="I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3" bestFit="1" customWidth="1"/>
    <col min="8" max="8" width="15.6640625" bestFit="1" customWidth="1"/>
    <col min="9" max="9" width="13" bestFit="1" customWidth="1"/>
    <col min="10" max="10" width="20" bestFit="1" customWidth="1"/>
    <col min="11" max="11" width="17.33203125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8362</v>
      </c>
      <c r="B3" s="12" t="s">
        <v>8364</v>
      </c>
    </row>
    <row r="4" spans="1:6" x14ac:dyDescent="0.2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6B1CC-C9AC-F549-94A7-0E05FDF23070}">
  <dimension ref="A1:E7"/>
  <sheetViews>
    <sheetView workbookViewId="0">
      <selection activeCell="N6" sqref="N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2" t="s">
        <v>8222</v>
      </c>
      <c r="B1" t="s">
        <v>8223</v>
      </c>
    </row>
    <row r="2" spans="1:5" x14ac:dyDescent="0.2">
      <c r="A2" s="12" t="s">
        <v>8358</v>
      </c>
      <c r="B2" t="s">
        <v>8315</v>
      </c>
    </row>
    <row r="4" spans="1:5" x14ac:dyDescent="0.2">
      <c r="A4" s="12" t="s">
        <v>8362</v>
      </c>
      <c r="B4" s="12" t="s">
        <v>8364</v>
      </c>
    </row>
    <row r="5" spans="1:5" x14ac:dyDescent="0.2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ACD9D-DA84-0E44-908F-78FF3EFC2399}">
  <dimension ref="A1:F18"/>
  <sheetViews>
    <sheetView workbookViewId="0">
      <selection activeCell="D12" sqref="D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8367</v>
      </c>
      <c r="B2" t="s">
        <v>8363</v>
      </c>
    </row>
    <row r="4" spans="1:6" x14ac:dyDescent="0.2">
      <c r="A4" s="12" t="s">
        <v>8362</v>
      </c>
      <c r="B4" s="12" t="s">
        <v>8364</v>
      </c>
    </row>
    <row r="5" spans="1:6" x14ac:dyDescent="0.2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3" t="s">
        <v>8368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3" t="s">
        <v>8369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3" t="s">
        <v>8370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3" t="s">
        <v>8371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3" t="s">
        <v>8372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3" t="s">
        <v>8373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3" t="s">
        <v>8374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3" t="s">
        <v>8375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3" t="s">
        <v>8376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3" t="s">
        <v>8377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3" t="s">
        <v>8378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3" t="s">
        <v>8379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3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B9748-448E-034F-891E-EC25223E03F5}">
  <dimension ref="A1:F6"/>
  <sheetViews>
    <sheetView workbookViewId="0">
      <selection activeCell="B15" sqref="B15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1.33203125" bestFit="1" customWidth="1"/>
    <col min="6" max="6" width="9.83203125" bestFit="1" customWidth="1"/>
  </cols>
  <sheetData>
    <row r="1" spans="1:6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2">
      <c r="A2" t="s">
        <v>3473</v>
      </c>
      <c r="B2" t="str">
        <f>VLOOKUP($A2,Kickstarter!B:C,2,FALSE)</f>
        <v>Help us get actor-writer Ian Bonar's debut play - a hilarious, heartbreaking story of grief and loss - to the 2016 Edinburgh Fringe.</v>
      </c>
      <c r="C2">
        <f>VLOOKUP($A2,Kickstarter!$B:$E,3,FALSE)</f>
        <v>2000</v>
      </c>
      <c r="D2">
        <f>VLOOKUP($A2,Kickstarter!$B:$E,4,FALSE)</f>
        <v>2020</v>
      </c>
      <c r="E2">
        <f>VLOOKUP($A2,Kickstarter!$B:$P,15,FALSE)</f>
        <v>51.79</v>
      </c>
      <c r="F2">
        <f>VLOOKUP($A2,Kickstarter!$B:$P,11,FALSE)</f>
        <v>39</v>
      </c>
    </row>
    <row r="3" spans="1:6" x14ac:dyDescent="0.2">
      <c r="A3" t="s">
        <v>3616</v>
      </c>
      <c r="B3" t="str">
        <f>VLOOKUP($A3,Kickstarter!B:C,2,FALSE)</f>
        <v>The play yet to be described as "A surefire Edinburgh Fringe Festival Cult Hit". Coming to the Underbelly, Edinburgh, 5th-30th August.</v>
      </c>
      <c r="C3">
        <f>VLOOKUP($A3,Kickstarter!$B:$E,3,FALSE)</f>
        <v>2000</v>
      </c>
      <c r="D3">
        <f>VLOOKUP($A3,Kickstarter!$B:$E,4,FALSE)</f>
        <v>2020</v>
      </c>
      <c r="E3">
        <f>VLOOKUP($A3,Kickstarter!$B:$P,15,FALSE)</f>
        <v>36.07</v>
      </c>
      <c r="F3">
        <f>VLOOKUP($A3,Kickstarter!$B:$P,11,FALSE)</f>
        <v>56</v>
      </c>
    </row>
    <row r="4" spans="1:6" x14ac:dyDescent="0.2">
      <c r="A4" t="s">
        <v>3178</v>
      </c>
      <c r="B4" t="str">
        <f>VLOOKUP($A4,Kickstarter!B:C,2,FALSE)</f>
        <v>Cutting Off Kate Bush is a one-woman show written &amp; performed by Lucy Benson-Brown, premiering at the Edinburgh Fringe Festival 2014</v>
      </c>
      <c r="C4">
        <f>VLOOKUP($A4,Kickstarter!$B:$E,3,FALSE)</f>
        <v>1500</v>
      </c>
      <c r="D4">
        <f>VLOOKUP($A4,Kickstarter!$B:$E,4,FALSE)</f>
        <v>2576</v>
      </c>
      <c r="E4">
        <f>VLOOKUP($A4,Kickstarter!$B:$P,15,FALSE)</f>
        <v>33.03</v>
      </c>
      <c r="F4">
        <f>VLOOKUP($A4,Kickstarter!$B:$P,11,FALSE)</f>
        <v>78</v>
      </c>
    </row>
    <row r="5" spans="1:6" x14ac:dyDescent="0.2">
      <c r="A5" t="s">
        <v>3329</v>
      </c>
      <c r="B5" t="str">
        <f>VLOOKUP($A5,Kickstarter!B:C,2,FALSE)</f>
        <v>Jestia and Raedon is a brand new romantic comedy play going to the Edinburgh Fringe Festival this summer.</v>
      </c>
      <c r="C5">
        <f>VLOOKUP($A5,Kickstarter!$B:$E,3,FALSE)</f>
        <v>1000</v>
      </c>
      <c r="D5">
        <f>VLOOKUP($A5,Kickstarter!$B:$E,4,FALSE)</f>
        <v>1168</v>
      </c>
      <c r="E5">
        <f>VLOOKUP($A5,Kickstarter!$B:$P,15,FALSE)</f>
        <v>44.92</v>
      </c>
      <c r="F5">
        <f>VLOOKUP($A5,Kickstarter!$B:$P,11,FALSE)</f>
        <v>26</v>
      </c>
    </row>
    <row r="6" spans="1:6" x14ac:dyDescent="0.2">
      <c r="A6" t="s">
        <v>3221</v>
      </c>
      <c r="B6" t="str">
        <f>VLOOKUP($A6,Kickstarter!B:C,2,FALSE)</f>
        <v>A one-man show about love, loss, and motorways, written &amp; performed by Ben Norris. Help us get to the 2015 Edinburgh Fringe and beyond!</v>
      </c>
      <c r="C6">
        <f>VLOOKUP($A6,Kickstarter!$B:$E,3,FALSE)</f>
        <v>4000</v>
      </c>
      <c r="D6">
        <f>VLOOKUP($A6,Kickstarter!$B:$E,4,FALSE)</f>
        <v>4137</v>
      </c>
      <c r="E6">
        <f>VLOOKUP($A6,Kickstarter!$B:$P,15,FALSE)</f>
        <v>36.61</v>
      </c>
      <c r="F6">
        <f>VLOOKUP($A6,Kickstarter!$B:$P,11,FALSE)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2022-03-09T21:26:11Z</dcterms:modified>
</cp:coreProperties>
</file>