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uis/Desktop/Aplicada2/"/>
    </mc:Choice>
  </mc:AlternateContent>
  <xr:revisionPtr revIDLastSave="0" documentId="13_ncr:1_{3DEDC2D4-F5A9-8649-9496-221C9709E9BD}" xr6:coauthVersionLast="45" xr6:coauthVersionMax="45" xr10:uidLastSave="{00000000-0000-0000-0000-000000000000}"/>
  <bookViews>
    <workbookView xWindow="2400" yWindow="1160" windowWidth="27180" windowHeight="14360" activeTab="1" xr2:uid="{6A21149D-4282-D345-9209-861919C91245}"/>
  </bookViews>
  <sheets>
    <sheet name="R.Lineal" sheetId="1" r:id="rId1"/>
    <sheet name="Análisis R" sheetId="2" r:id="rId2"/>
  </sheets>
  <definedNames>
    <definedName name="solver_adj" localSheetId="1" hidden="1">'Análisis R'!$M$20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'Análisis R'!$M$20</definedName>
    <definedName name="solver_lhs2" localSheetId="1" hidden="1">'Análisis R'!$M$20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opt" localSheetId="1" hidden="1">'Análisis R'!$K$4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'Análisis R'!$Q$20</definedName>
    <definedName name="solver_rhs2" localSheetId="1" hidden="1">'Análisis R'!$P$20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" i="2" l="1"/>
  <c r="N4" i="2"/>
  <c r="N29" i="2"/>
  <c r="N5" i="2"/>
  <c r="O5" i="2"/>
  <c r="S5" i="2" s="1"/>
  <c r="O29" i="2"/>
  <c r="S29" i="2" s="1"/>
  <c r="R29" i="2" l="1"/>
  <c r="R5" i="2"/>
  <c r="S4" i="2"/>
  <c r="R4" i="2"/>
  <c r="N9" i="2"/>
  <c r="N7" i="2"/>
  <c r="G29" i="2"/>
  <c r="G28" i="2"/>
  <c r="F3" i="2"/>
  <c r="F29" i="2"/>
  <c r="I29" i="2" s="1"/>
  <c r="J29" i="2" s="1"/>
  <c r="F28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4" i="2"/>
  <c r="F5" i="2"/>
  <c r="G3" i="2"/>
  <c r="F4" i="2"/>
  <c r="O18" i="2"/>
  <c r="S18" i="2" s="1"/>
  <c r="O6" i="2"/>
  <c r="S6" i="2" s="1"/>
  <c r="O8" i="2"/>
  <c r="S8" i="2" s="1"/>
  <c r="O9" i="2"/>
  <c r="S9" i="2" s="1"/>
  <c r="O10" i="2"/>
  <c r="S10" i="2" s="1"/>
  <c r="O11" i="2"/>
  <c r="S11" i="2" s="1"/>
  <c r="O12" i="2"/>
  <c r="S12" i="2" s="1"/>
  <c r="O13" i="2"/>
  <c r="S13" i="2" s="1"/>
  <c r="O14" i="2"/>
  <c r="S14" i="2" s="1"/>
  <c r="O15" i="2"/>
  <c r="S15" i="2" s="1"/>
  <c r="O16" i="2"/>
  <c r="S16" i="2" s="1"/>
  <c r="O17" i="2"/>
  <c r="S17" i="2" s="1"/>
  <c r="O19" i="2"/>
  <c r="S19" i="2" s="1"/>
  <c r="O20" i="2"/>
  <c r="S20" i="2" s="1"/>
  <c r="O21" i="2"/>
  <c r="S21" i="2" s="1"/>
  <c r="O22" i="2"/>
  <c r="S22" i="2" s="1"/>
  <c r="O23" i="2"/>
  <c r="S23" i="2" s="1"/>
  <c r="O24" i="2"/>
  <c r="S24" i="2" s="1"/>
  <c r="O25" i="2"/>
  <c r="S25" i="2" s="1"/>
  <c r="O26" i="2"/>
  <c r="S26" i="2" s="1"/>
  <c r="O27" i="2"/>
  <c r="S27" i="2" s="1"/>
  <c r="O28" i="2"/>
  <c r="S28" i="2" s="1"/>
  <c r="N12" i="2"/>
  <c r="N10" i="2"/>
  <c r="N8" i="2"/>
  <c r="N18" i="2"/>
  <c r="N26" i="2"/>
  <c r="N6" i="2"/>
  <c r="N11" i="2"/>
  <c r="N13" i="2"/>
  <c r="N14" i="2"/>
  <c r="N15" i="2"/>
  <c r="N16" i="2"/>
  <c r="N17" i="2"/>
  <c r="N19" i="2"/>
  <c r="N20" i="2"/>
  <c r="N21" i="2"/>
  <c r="N22" i="2"/>
  <c r="N23" i="2"/>
  <c r="N24" i="2"/>
  <c r="N25" i="2"/>
  <c r="N27" i="2"/>
  <c r="N28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4" i="1"/>
  <c r="J2" i="1" s="1"/>
  <c r="H3" i="2"/>
  <c r="H4" i="2"/>
  <c r="I5" i="2"/>
  <c r="J5" i="2" s="1"/>
  <c r="F6" i="2"/>
  <c r="H6" i="2" s="1"/>
  <c r="F7" i="2"/>
  <c r="H7" i="2" s="1"/>
  <c r="F8" i="2"/>
  <c r="H8" i="2" s="1"/>
  <c r="F9" i="2"/>
  <c r="F10" i="2"/>
  <c r="F11" i="2"/>
  <c r="F12" i="2"/>
  <c r="I12" i="2" s="1"/>
  <c r="J12" i="2" s="1"/>
  <c r="F13" i="2"/>
  <c r="F14" i="2"/>
  <c r="F15" i="2"/>
  <c r="F16" i="2"/>
  <c r="I16" i="2" s="1"/>
  <c r="J16" i="2" s="1"/>
  <c r="F17" i="2"/>
  <c r="F18" i="2"/>
  <c r="F19" i="2"/>
  <c r="H19" i="2" s="1"/>
  <c r="F20" i="2"/>
  <c r="I20" i="2" s="1"/>
  <c r="J20" i="2" s="1"/>
  <c r="F21" i="2"/>
  <c r="F22" i="2"/>
  <c r="F23" i="2"/>
  <c r="F24" i="2"/>
  <c r="I24" i="2" s="1"/>
  <c r="J24" i="2" s="1"/>
  <c r="F25" i="2"/>
  <c r="F26" i="2"/>
  <c r="F27" i="2"/>
  <c r="I28" i="2"/>
  <c r="J28" i="2" s="1"/>
  <c r="L6" i="1"/>
  <c r="L5" i="1"/>
  <c r="P6" i="1" s="1"/>
  <c r="U4" i="2" l="1" a="1"/>
  <c r="U4" i="2" s="1"/>
  <c r="R24" i="2"/>
  <c r="R15" i="2"/>
  <c r="R10" i="2"/>
  <c r="R28" i="2"/>
  <c r="R19" i="2"/>
  <c r="R14" i="2"/>
  <c r="R26" i="2"/>
  <c r="R9" i="2"/>
  <c r="R22" i="2"/>
  <c r="R17" i="2"/>
  <c r="R13" i="2"/>
  <c r="R18" i="2"/>
  <c r="R20" i="2"/>
  <c r="R6" i="2"/>
  <c r="R23" i="2"/>
  <c r="R12" i="2"/>
  <c r="R27" i="2"/>
  <c r="R25" i="2"/>
  <c r="R21" i="2"/>
  <c r="R16" i="2"/>
  <c r="R11" i="2"/>
  <c r="R8" i="2"/>
  <c r="I27" i="2"/>
  <c r="J27" i="2" s="1"/>
  <c r="I23" i="2"/>
  <c r="J23" i="2" s="1"/>
  <c r="I15" i="2"/>
  <c r="J15" i="2" s="1"/>
  <c r="I11" i="2"/>
  <c r="J11" i="2" s="1"/>
  <c r="P28" i="1"/>
  <c r="P24" i="1"/>
  <c r="P20" i="1"/>
  <c r="P16" i="1"/>
  <c r="P12" i="1"/>
  <c r="P8" i="1"/>
  <c r="P4" i="1"/>
  <c r="I26" i="2"/>
  <c r="J26" i="2" s="1"/>
  <c r="I22" i="2"/>
  <c r="J22" i="2" s="1"/>
  <c r="I18" i="2"/>
  <c r="J18" i="2" s="1"/>
  <c r="I14" i="2"/>
  <c r="J14" i="2" s="1"/>
  <c r="I10" i="2"/>
  <c r="J10" i="2" s="1"/>
  <c r="I6" i="2"/>
  <c r="J6" i="2" s="1"/>
  <c r="P27" i="1"/>
  <c r="P23" i="1"/>
  <c r="P19" i="1"/>
  <c r="P15" i="1"/>
  <c r="P11" i="1"/>
  <c r="P7" i="1"/>
  <c r="P29" i="1"/>
  <c r="P25" i="1"/>
  <c r="P21" i="1"/>
  <c r="P17" i="1"/>
  <c r="P13" i="1"/>
  <c r="P9" i="1"/>
  <c r="P5" i="1"/>
  <c r="I25" i="2"/>
  <c r="J25" i="2" s="1"/>
  <c r="I21" i="2"/>
  <c r="J21" i="2" s="1"/>
  <c r="I17" i="2"/>
  <c r="J17" i="2" s="1"/>
  <c r="I13" i="2"/>
  <c r="J13" i="2" s="1"/>
  <c r="I9" i="2"/>
  <c r="J9" i="2" s="1"/>
  <c r="P30" i="1"/>
  <c r="P26" i="1"/>
  <c r="P22" i="1"/>
  <c r="P18" i="1"/>
  <c r="P14" i="1"/>
  <c r="P10" i="1"/>
  <c r="O7" i="2"/>
  <c r="H23" i="2"/>
  <c r="I4" i="2"/>
  <c r="J4" i="2" s="1"/>
  <c r="H29" i="2"/>
  <c r="H25" i="2"/>
  <c r="H21" i="2"/>
  <c r="H17" i="2"/>
  <c r="H13" i="2"/>
  <c r="H9" i="2"/>
  <c r="H5" i="2"/>
  <c r="I8" i="2"/>
  <c r="J8" i="2" s="1"/>
  <c r="H27" i="2"/>
  <c r="H11" i="2"/>
  <c r="H28" i="2"/>
  <c r="H24" i="2"/>
  <c r="H20" i="2"/>
  <c r="H16" i="2"/>
  <c r="H12" i="2"/>
  <c r="I7" i="2"/>
  <c r="J7" i="2" s="1"/>
  <c r="H15" i="2"/>
  <c r="I19" i="2"/>
  <c r="J19" i="2" s="1"/>
  <c r="H26" i="2"/>
  <c r="H22" i="2"/>
  <c r="H18" i="2"/>
  <c r="H14" i="2"/>
  <c r="H10" i="2"/>
  <c r="J6" i="1"/>
  <c r="N4" i="1" s="1"/>
  <c r="N6" i="1" s="1"/>
  <c r="J5" i="1"/>
  <c r="F30" i="1"/>
  <c r="F4" i="1"/>
  <c r="G30" i="1"/>
  <c r="G8" i="1"/>
  <c r="G5" i="1"/>
  <c r="G6" i="1"/>
  <c r="G7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S7" i="2" l="1"/>
  <c r="S30" i="2" s="1"/>
  <c r="T4" i="2" a="1"/>
  <c r="T4" i="2" s="1"/>
  <c r="R7" i="2"/>
  <c r="R30" i="2" s="1"/>
  <c r="Q3" i="1"/>
  <c r="J3" i="1"/>
  <c r="J4" i="1"/>
  <c r="M4" i="1" s="1"/>
  <c r="M6" i="1" s="1"/>
  <c r="J30" i="2"/>
  <c r="H30" i="2"/>
  <c r="Q13" i="2" l="1"/>
  <c r="Q12" i="2" s="1"/>
  <c r="J8" i="1"/>
  <c r="J7" i="1" s="1"/>
  <c r="L5" i="2" l="1"/>
  <c r="L29" i="2"/>
  <c r="L4" i="2"/>
  <c r="L25" i="2"/>
  <c r="L13" i="2"/>
  <c r="L11" i="2"/>
  <c r="L10" i="2"/>
  <c r="L28" i="2"/>
  <c r="L26" i="2"/>
  <c r="L18" i="2"/>
  <c r="L8" i="2"/>
  <c r="L7" i="2"/>
  <c r="L23" i="2"/>
  <c r="L12" i="2"/>
  <c r="L27" i="2"/>
  <c r="L22" i="2"/>
  <c r="L21" i="2"/>
  <c r="L24" i="2"/>
  <c r="L20" i="2"/>
  <c r="L19" i="2"/>
  <c r="L9" i="2"/>
  <c r="L17" i="2"/>
  <c r="L16" i="2"/>
  <c r="L15" i="2"/>
  <c r="L6" i="2"/>
  <c r="L14" i="2"/>
  <c r="K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<sst xmlns="http://schemas.openxmlformats.org/spreadsheetml/2006/main" count="44" uniqueCount="36">
  <si>
    <t>Año</t>
  </si>
  <si>
    <t>PNB</t>
  </si>
  <si>
    <t xml:space="preserve">Índice </t>
  </si>
  <si>
    <t xml:space="preserve"> </t>
  </si>
  <si>
    <t>SUMA Xi^2</t>
  </si>
  <si>
    <t>SUMA Xi</t>
  </si>
  <si>
    <t>SUMA Yi</t>
  </si>
  <si>
    <t xml:space="preserve"> Xi^2</t>
  </si>
  <si>
    <t xml:space="preserve"> XiYi</t>
  </si>
  <si>
    <t xml:space="preserve"> SUMA XiYi</t>
  </si>
  <si>
    <t>bo</t>
  </si>
  <si>
    <t>b1</t>
  </si>
  <si>
    <t>X barra</t>
  </si>
  <si>
    <t>Y barra</t>
  </si>
  <si>
    <t>tiempo</t>
  </si>
  <si>
    <t>Residuos2</t>
  </si>
  <si>
    <t>Residuos^2</t>
  </si>
  <si>
    <t>et-et-1</t>
  </si>
  <si>
    <t>(et-et-1)^2</t>
  </si>
  <si>
    <t>S^2(x)</t>
  </si>
  <si>
    <t>S^2(y)</t>
  </si>
  <si>
    <t>Sx</t>
  </si>
  <si>
    <t>Sy</t>
  </si>
  <si>
    <t>SUMA Yi^2</t>
  </si>
  <si>
    <t xml:space="preserve"> Yi^2</t>
  </si>
  <si>
    <t>Yt'</t>
  </si>
  <si>
    <t>Xt'</t>
  </si>
  <si>
    <t>B^0</t>
  </si>
  <si>
    <t>B^1</t>
  </si>
  <si>
    <t>S^2</t>
  </si>
  <si>
    <t>(Xi-Xbarra)^2</t>
  </si>
  <si>
    <t>ee(b1)</t>
  </si>
  <si>
    <t>ee(b0)</t>
  </si>
  <si>
    <t>Residuos3</t>
  </si>
  <si>
    <t>roh</t>
  </si>
  <si>
    <t>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</si>
</sst>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0" xfId="0" applyFill="1"/>
    <xf numFmtId="0" fontId="0" fillId="5" borderId="0" xfId="0" applyFont="1" applyFill="1"/>
    <xf numFmtId="0" fontId="0" fillId="7" borderId="3" xfId="0" applyFill="1" applyBorder="1"/>
    <xf numFmtId="0" fontId="0" fillId="6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0" borderId="0" xfId="0" applyNumberFormat="1"/>
    <xf numFmtId="0" fontId="0" fillId="11" borderId="3" xfId="0" applyFill="1" applyBorder="1"/>
    <xf numFmtId="0" fontId="0" fillId="4" borderId="4" xfId="0" applyFill="1" applyBorder="1"/>
    <xf numFmtId="0" fontId="0" fillId="12" borderId="3" xfId="0" applyFill="1" applyBorder="1"/>
    <xf numFmtId="0" fontId="0" fillId="0" borderId="0" xfId="0" applyFill="1"/>
    <xf numFmtId="0" fontId="0" fillId="10" borderId="5" xfId="0" applyFill="1" applyBorder="1"/>
    <xf numFmtId="0" fontId="0" fillId="13" borderId="3" xfId="0" applyFill="1" applyBorder="1"/>
    <xf numFmtId="0" fontId="0" fillId="8" borderId="6" xfId="0" applyFill="1" applyBorder="1"/>
    <xf numFmtId="0" fontId="0" fillId="9" borderId="6" xfId="0" applyFill="1" applyBorder="1"/>
    <xf numFmtId="0" fontId="0" fillId="14" borderId="3" xfId="0" applyFill="1" applyBorder="1"/>
    <xf numFmtId="0" fontId="0" fillId="15" borderId="0" xfId="0" applyFill="1"/>
    <xf numFmtId="0" fontId="0" fillId="16" borderId="0" xfId="0" applyFill="1"/>
    <xf numFmtId="0" fontId="0" fillId="14" borderId="6" xfId="0" applyFill="1" applyBorder="1"/>
    <xf numFmtId="0" fontId="0" fillId="17" borderId="3" xfId="0" applyFill="1" applyBorder="1"/>
    <xf numFmtId="0" fontId="0" fillId="13" borderId="5" xfId="0" applyFill="1" applyBorder="1"/>
    <xf numFmtId="0" fontId="0" fillId="18" borderId="3" xfId="0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Comportamiento</a:t>
            </a:r>
            <a:r>
              <a:rPr lang="es-MX" baseline="0"/>
              <a:t> del índice/PNB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36782545931758531"/>
                  <c:y val="-9.41841644794400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'R.Lineal'!$C$4:$C$30</c:f>
              <c:numCache>
                <c:formatCode>General</c:formatCode>
                <c:ptCount val="27"/>
                <c:pt idx="0">
                  <c:v>515</c:v>
                </c:pt>
                <c:pt idx="1">
                  <c:v>534</c:v>
                </c:pt>
                <c:pt idx="2">
                  <c:v>575</c:v>
                </c:pt>
                <c:pt idx="3">
                  <c:v>607</c:v>
                </c:pt>
                <c:pt idx="4">
                  <c:v>650</c:v>
                </c:pt>
                <c:pt idx="5">
                  <c:v>705</c:v>
                </c:pt>
                <c:pt idx="6">
                  <c:v>772</c:v>
                </c:pt>
                <c:pt idx="7">
                  <c:v>816</c:v>
                </c:pt>
                <c:pt idx="8">
                  <c:v>873</c:v>
                </c:pt>
                <c:pt idx="9">
                  <c:v>964</c:v>
                </c:pt>
                <c:pt idx="10">
                  <c:v>1016</c:v>
                </c:pt>
                <c:pt idx="11">
                  <c:v>1103</c:v>
                </c:pt>
                <c:pt idx="12">
                  <c:v>1213</c:v>
                </c:pt>
                <c:pt idx="13">
                  <c:v>1359</c:v>
                </c:pt>
                <c:pt idx="14">
                  <c:v>1473</c:v>
                </c:pt>
                <c:pt idx="15">
                  <c:v>1598</c:v>
                </c:pt>
                <c:pt idx="16">
                  <c:v>1783</c:v>
                </c:pt>
                <c:pt idx="17">
                  <c:v>1991</c:v>
                </c:pt>
                <c:pt idx="18">
                  <c:v>2250</c:v>
                </c:pt>
                <c:pt idx="19">
                  <c:v>2508</c:v>
                </c:pt>
                <c:pt idx="20">
                  <c:v>2732</c:v>
                </c:pt>
                <c:pt idx="21">
                  <c:v>3053</c:v>
                </c:pt>
                <c:pt idx="22">
                  <c:v>3166</c:v>
                </c:pt>
                <c:pt idx="23">
                  <c:v>3406</c:v>
                </c:pt>
                <c:pt idx="24">
                  <c:v>3765</c:v>
                </c:pt>
                <c:pt idx="25">
                  <c:v>3998</c:v>
                </c:pt>
                <c:pt idx="26">
                  <c:v>4209</c:v>
                </c:pt>
              </c:numCache>
            </c:numRef>
          </c:xVal>
          <c:yVal>
            <c:numRef>
              <c:f>'R.Lineal'!$D$4:$D$30</c:f>
              <c:numCache>
                <c:formatCode>General</c:formatCode>
                <c:ptCount val="27"/>
                <c:pt idx="0">
                  <c:v>618.04</c:v>
                </c:pt>
                <c:pt idx="1">
                  <c:v>691.55</c:v>
                </c:pt>
                <c:pt idx="2">
                  <c:v>639.76</c:v>
                </c:pt>
                <c:pt idx="3">
                  <c:v>714.81</c:v>
                </c:pt>
                <c:pt idx="4">
                  <c:v>834.05</c:v>
                </c:pt>
                <c:pt idx="5">
                  <c:v>910.88</c:v>
                </c:pt>
                <c:pt idx="6">
                  <c:v>873.6</c:v>
                </c:pt>
                <c:pt idx="7">
                  <c:v>879.12</c:v>
                </c:pt>
                <c:pt idx="8">
                  <c:v>906</c:v>
                </c:pt>
                <c:pt idx="9">
                  <c:v>876.72</c:v>
                </c:pt>
                <c:pt idx="10">
                  <c:v>753.19</c:v>
                </c:pt>
                <c:pt idx="11">
                  <c:v>884.76</c:v>
                </c:pt>
                <c:pt idx="12">
                  <c:v>950.71</c:v>
                </c:pt>
                <c:pt idx="13">
                  <c:v>923.88</c:v>
                </c:pt>
                <c:pt idx="14">
                  <c:v>759.37</c:v>
                </c:pt>
                <c:pt idx="15">
                  <c:v>802.49</c:v>
                </c:pt>
                <c:pt idx="16">
                  <c:v>974.92</c:v>
                </c:pt>
                <c:pt idx="17">
                  <c:v>894.63</c:v>
                </c:pt>
                <c:pt idx="18">
                  <c:v>820.23</c:v>
                </c:pt>
                <c:pt idx="19">
                  <c:v>844.4</c:v>
                </c:pt>
                <c:pt idx="20">
                  <c:v>891.41</c:v>
                </c:pt>
                <c:pt idx="21">
                  <c:v>932.92</c:v>
                </c:pt>
                <c:pt idx="22">
                  <c:v>884.36</c:v>
                </c:pt>
                <c:pt idx="23">
                  <c:v>1190.3399999999999</c:v>
                </c:pt>
                <c:pt idx="24">
                  <c:v>1178.48</c:v>
                </c:pt>
                <c:pt idx="25">
                  <c:v>1328.23</c:v>
                </c:pt>
                <c:pt idx="26">
                  <c:v>1592.76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78-7647-B00B-F60E81FC2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473151"/>
        <c:axId val="1793445007"/>
      </c:scatterChart>
      <c:valAx>
        <c:axId val="1793473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PNB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93445007"/>
        <c:crosses val="autoZero"/>
        <c:crossBetween val="midCat"/>
      </c:valAx>
      <c:valAx>
        <c:axId val="179344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índice</a:t>
                </a:r>
                <a:r>
                  <a:rPr lang="es-MX" baseline="0"/>
                  <a:t> de bolsa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93473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31836942257217848"/>
                  <c:y val="-9.50247885680956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'Análisis R'!$N$4:$N$29</c:f>
              <c:numCache>
                <c:formatCode>General</c:formatCode>
                <c:ptCount val="26"/>
                <c:pt idx="0">
                  <c:v>246.39160310899223</c:v>
                </c:pt>
                <c:pt idx="1">
                  <c:v>141.65423116630575</c:v>
                </c:pt>
                <c:pt idx="2">
                  <c:v>254.00724290500426</c:v>
                </c:pt>
                <c:pt idx="3">
                  <c:v>319.19064836958569</c:v>
                </c:pt>
                <c:pt idx="4">
                  <c:v>310.13512761804247</c:v>
                </c:pt>
                <c:pt idx="5">
                  <c:v>217.51644463128423</c:v>
                </c:pt>
                <c:pt idx="6">
                  <c:v>249.88827466833152</c:v>
                </c:pt>
                <c:pt idx="7">
                  <c:v>272.79235992035672</c:v>
                </c:pt>
                <c:pt idx="8">
                  <c:v>224.15138375630545</c:v>
                </c:pt>
                <c:pt idx="9">
                  <c:v>121.71101850643277</c:v>
                </c:pt>
                <c:pt idx="10">
                  <c:v>342.25651648058681</c:v>
                </c:pt>
                <c:pt idx="11">
                  <c:v>313.44001224307817</c:v>
                </c:pt>
                <c:pt idx="12">
                  <c:v>239.107914846531</c:v>
                </c:pt>
                <c:pt idx="13">
                  <c:v>93.922877290039082</c:v>
                </c:pt>
                <c:pt idx="14">
                  <c:v>255.53522062144111</c:v>
                </c:pt>
                <c:pt idx="15">
                  <c:v>396.90698802494205</c:v>
                </c:pt>
                <c:pt idx="16">
                  <c:v>192.42007135948927</c:v>
                </c:pt>
                <c:pt idx="17">
                  <c:v>175.8509038078405</c:v>
                </c:pt>
                <c:pt idx="18">
                  <c:v>253.60931997619684</c:v>
                </c:pt>
                <c:pt idx="19">
                  <c:v>283.21028746558966</c:v>
                </c:pt>
                <c:pt idx="20">
                  <c:v>290.8601874108258</c:v>
                </c:pt>
                <c:pt idx="21">
                  <c:v>212.40159661581947</c:v>
                </c:pt>
                <c:pt idx="22">
                  <c:v>553.35812200742396</c:v>
                </c:pt>
                <c:pt idx="23">
                  <c:v>321.10855777094991</c:v>
                </c:pt>
                <c:pt idx="24">
                  <c:v>479.40101228380877</c:v>
                </c:pt>
                <c:pt idx="25">
                  <c:v>636.06991925677426</c:v>
                </c:pt>
              </c:numCache>
            </c:numRef>
          </c:xVal>
          <c:yVal>
            <c:numRef>
              <c:f>'Análisis R'!$O$4:$O$29</c:f>
              <c:numCache>
                <c:formatCode>General</c:formatCode>
                <c:ptCount val="26"/>
                <c:pt idx="0">
                  <c:v>163.05867840452237</c:v>
                </c:pt>
                <c:pt idx="1">
                  <c:v>190.37346459808725</c:v>
                </c:pt>
                <c:pt idx="2">
                  <c:v>192.84221375262206</c:v>
                </c:pt>
                <c:pt idx="3">
                  <c:v>212.79343260494193</c:v>
                </c:pt>
                <c:pt idx="4">
                  <c:v>236.8216329377467</c:v>
                </c:pt>
                <c:pt idx="5">
                  <c:v>264.20654034017139</c:v>
                </c:pt>
                <c:pt idx="6">
                  <c:v>259.9481548122161</c:v>
                </c:pt>
                <c:pt idx="7">
                  <c:v>285.25608073415583</c:v>
                </c:pt>
                <c:pt idx="8">
                  <c:v>335.20043931485054</c:v>
                </c:pt>
                <c:pt idx="9">
                  <c:v>321.65546792613509</c:v>
                </c:pt>
                <c:pt idx="10">
                  <c:v>371.2011985611548</c:v>
                </c:pt>
                <c:pt idx="11">
                  <c:v>418.53732481589941</c:v>
                </c:pt>
                <c:pt idx="12">
                  <c:v>485.30713962074879</c:v>
                </c:pt>
                <c:pt idx="13">
                  <c:v>494.14707563445802</c:v>
                </c:pt>
                <c:pt idx="14">
                  <c:v>537.03579279584756</c:v>
                </c:pt>
                <c:pt idx="15">
                  <c:v>632.00149143772182</c:v>
                </c:pt>
                <c:pt idx="16">
                  <c:v>706.7507254276959</c:v>
                </c:pt>
                <c:pt idx="17">
                  <c:v>815.93364796777496</c:v>
                </c:pt>
                <c:pt idx="18">
                  <c:v>887.38257555373843</c:v>
                </c:pt>
                <c:pt idx="19">
                  <c:v>925.55177755056729</c:v>
                </c:pt>
                <c:pt idx="20">
                  <c:v>1085.2103095168061</c:v>
                </c:pt>
                <c:pt idx="21">
                  <c:v>967.00222362913928</c:v>
                </c:pt>
                <c:pt idx="22">
                  <c:v>1125.6112152013939</c:v>
                </c:pt>
                <c:pt idx="23">
                  <c:v>1311.7453565937926</c:v>
                </c:pt>
                <c:pt idx="24">
                  <c:v>1286.1668430932559</c:v>
                </c:pt>
                <c:pt idx="25">
                  <c:v>1329.3429053617097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DB-AE4B-9718-BA05F4EDB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615183"/>
        <c:axId val="1808699247"/>
      </c:scatterChart>
      <c:valAx>
        <c:axId val="1808615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Xt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08699247"/>
        <c:crosses val="autoZero"/>
        <c:crossBetween val="midCat"/>
      </c:valAx>
      <c:valAx>
        <c:axId val="180869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Yt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08615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6176727909011375E-3"/>
                  <c:y val="-0.170657261592300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'Análisis R'!$F$3:$F$28</c:f>
              <c:numCache>
                <c:formatCode>General</c:formatCode>
                <c:ptCount val="26"/>
                <c:pt idx="0">
                  <c:v>-118.19363814999997</c:v>
                </c:pt>
                <c:pt idx="1">
                  <c:v>-47.316171940000004</c:v>
                </c:pt>
                <c:pt idx="2">
                  <c:v>-104.78690274999997</c:v>
                </c:pt>
                <c:pt idx="3">
                  <c:v>-34.170643870000049</c:v>
                </c:pt>
                <c:pt idx="4">
                  <c:v>79.111516499999993</c:v>
                </c:pt>
                <c:pt idx="5">
                  <c:v>148.32102395000004</c:v>
                </c:pt>
                <c:pt idx="6">
                  <c:v>101.75787848000004</c:v>
                </c:pt>
                <c:pt idx="7">
                  <c:v>101.18148444000008</c:v>
                </c:pt>
                <c:pt idx="8">
                  <c:v>120.16388307</c:v>
                </c:pt>
                <c:pt idx="9">
                  <c:v>78.27543176000006</c:v>
                </c:pt>
                <c:pt idx="10">
                  <c:v>-52.459397559999843</c:v>
                </c:pt>
                <c:pt idx="11">
                  <c:v>67.056368770000063</c:v>
                </c:pt>
                <c:pt idx="12">
                  <c:v>117.76538367000012</c:v>
                </c:pt>
                <c:pt idx="13">
                  <c:v>70.706439810000006</c:v>
                </c:pt>
                <c:pt idx="14">
                  <c:v>-109.59876292999991</c:v>
                </c:pt>
                <c:pt idx="15">
                  <c:v>-83.798064179999983</c:v>
                </c:pt>
                <c:pt idx="16">
                  <c:v>62.999369969999975</c:v>
                </c:pt>
                <c:pt idx="17">
                  <c:v>-46.109947309999939</c:v>
                </c:pt>
                <c:pt idx="18">
                  <c:v>-156.39553949999993</c:v>
                </c:pt>
                <c:pt idx="19">
                  <c:v>-167.97257728</c:v>
                </c:pt>
                <c:pt idx="20">
                  <c:v>-151.99876512000003</c:v>
                </c:pt>
                <c:pt idx="21">
                  <c:v>-154.96473073000004</c:v>
                </c:pt>
                <c:pt idx="22">
                  <c:v>-219.18137906000004</c:v>
                </c:pt>
                <c:pt idx="23">
                  <c:v>53.545562539999992</c:v>
                </c:pt>
                <c:pt idx="24">
                  <c:v>-8.0554706499999611</c:v>
                </c:pt>
                <c:pt idx="25">
                  <c:v>109.41135182000016</c:v>
                </c:pt>
              </c:numCache>
            </c:numRef>
          </c:xVal>
          <c:yVal>
            <c:numRef>
              <c:f>'Análisis R'!$G$3:$G$28</c:f>
              <c:numCache>
                <c:formatCode>General</c:formatCode>
                <c:ptCount val="26"/>
                <c:pt idx="0">
                  <c:v>-47.316171940000004</c:v>
                </c:pt>
                <c:pt idx="1">
                  <c:v>-104.78690274999997</c:v>
                </c:pt>
                <c:pt idx="2">
                  <c:v>-34.170643870000049</c:v>
                </c:pt>
                <c:pt idx="3">
                  <c:v>79.111516499999993</c:v>
                </c:pt>
                <c:pt idx="4">
                  <c:v>148.32102395000004</c:v>
                </c:pt>
                <c:pt idx="5">
                  <c:v>101.75787848000004</c:v>
                </c:pt>
                <c:pt idx="6">
                  <c:v>101.18148444000008</c:v>
                </c:pt>
                <c:pt idx="7">
                  <c:v>120.16388307</c:v>
                </c:pt>
                <c:pt idx="8">
                  <c:v>78.27543176000006</c:v>
                </c:pt>
                <c:pt idx="9">
                  <c:v>-52.459397559999843</c:v>
                </c:pt>
                <c:pt idx="10">
                  <c:v>67.056368770000063</c:v>
                </c:pt>
                <c:pt idx="11">
                  <c:v>117.76538367000012</c:v>
                </c:pt>
                <c:pt idx="12">
                  <c:v>70.706439810000006</c:v>
                </c:pt>
                <c:pt idx="13">
                  <c:v>-109.59876292999991</c:v>
                </c:pt>
                <c:pt idx="14">
                  <c:v>-83.798064179999983</c:v>
                </c:pt>
                <c:pt idx="15">
                  <c:v>62.999369969999975</c:v>
                </c:pt>
                <c:pt idx="16">
                  <c:v>-46.109947309999939</c:v>
                </c:pt>
                <c:pt idx="17">
                  <c:v>-156.39553949999993</c:v>
                </c:pt>
                <c:pt idx="18">
                  <c:v>-167.97257728</c:v>
                </c:pt>
                <c:pt idx="19">
                  <c:v>-151.99876512000003</c:v>
                </c:pt>
                <c:pt idx="20">
                  <c:v>-154.96473073000004</c:v>
                </c:pt>
                <c:pt idx="21">
                  <c:v>-219.18137906000004</c:v>
                </c:pt>
                <c:pt idx="22">
                  <c:v>53.545562539999992</c:v>
                </c:pt>
                <c:pt idx="23">
                  <c:v>-8.0554706499999611</c:v>
                </c:pt>
                <c:pt idx="24">
                  <c:v>109.41135182000016</c:v>
                </c:pt>
                <c:pt idx="25">
                  <c:v>344.70637130999989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85-A143-A7A8-43DDA6AFE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250431"/>
        <c:axId val="1760345695"/>
      </c:scatterChart>
      <c:valAx>
        <c:axId val="176025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60345695"/>
        <c:crosses val="autoZero"/>
        <c:crossBetween val="midCat"/>
      </c:valAx>
      <c:valAx>
        <c:axId val="176034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6025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451640419947507E-2"/>
                  <c:y val="-8.04246864975211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'Análisis R'!$O$4:$O$29</c:f>
              <c:numCache>
                <c:formatCode>General</c:formatCode>
                <c:ptCount val="26"/>
                <c:pt idx="0">
                  <c:v>163.05867840452237</c:v>
                </c:pt>
                <c:pt idx="1">
                  <c:v>190.37346459808725</c:v>
                </c:pt>
                <c:pt idx="2">
                  <c:v>192.84221375262206</c:v>
                </c:pt>
                <c:pt idx="3">
                  <c:v>212.79343260494193</c:v>
                </c:pt>
                <c:pt idx="4">
                  <c:v>236.8216329377467</c:v>
                </c:pt>
                <c:pt idx="5">
                  <c:v>264.20654034017139</c:v>
                </c:pt>
                <c:pt idx="6">
                  <c:v>259.9481548122161</c:v>
                </c:pt>
                <c:pt idx="7">
                  <c:v>285.25608073415583</c:v>
                </c:pt>
                <c:pt idx="8">
                  <c:v>335.20043931485054</c:v>
                </c:pt>
                <c:pt idx="9">
                  <c:v>321.65546792613509</c:v>
                </c:pt>
                <c:pt idx="10">
                  <c:v>371.2011985611548</c:v>
                </c:pt>
                <c:pt idx="11">
                  <c:v>418.53732481589941</c:v>
                </c:pt>
                <c:pt idx="12">
                  <c:v>485.30713962074879</c:v>
                </c:pt>
                <c:pt idx="13">
                  <c:v>494.14707563445802</c:v>
                </c:pt>
                <c:pt idx="14">
                  <c:v>537.03579279584756</c:v>
                </c:pt>
                <c:pt idx="15">
                  <c:v>632.00149143772182</c:v>
                </c:pt>
                <c:pt idx="16">
                  <c:v>706.7507254276959</c:v>
                </c:pt>
                <c:pt idx="17">
                  <c:v>815.93364796777496</c:v>
                </c:pt>
                <c:pt idx="18">
                  <c:v>887.38257555373843</c:v>
                </c:pt>
                <c:pt idx="19">
                  <c:v>925.55177755056729</c:v>
                </c:pt>
                <c:pt idx="20">
                  <c:v>1085.2103095168061</c:v>
                </c:pt>
                <c:pt idx="21">
                  <c:v>967.00222362913928</c:v>
                </c:pt>
                <c:pt idx="22">
                  <c:v>1125.6112152013939</c:v>
                </c:pt>
                <c:pt idx="23">
                  <c:v>1311.7453565937926</c:v>
                </c:pt>
                <c:pt idx="24">
                  <c:v>1286.1668430932559</c:v>
                </c:pt>
                <c:pt idx="25">
                  <c:v>1329.3429053617097</c:v>
                </c:pt>
              </c:numCache>
            </c:numRef>
          </c:xVal>
          <c:yVal>
            <c:numRef>
              <c:f>'Análisis R'!$N$4:$N$29</c:f>
              <c:numCache>
                <c:formatCode>General</c:formatCode>
                <c:ptCount val="26"/>
                <c:pt idx="0">
                  <c:v>246.39160310899223</c:v>
                </c:pt>
                <c:pt idx="1">
                  <c:v>141.65423116630575</c:v>
                </c:pt>
                <c:pt idx="2">
                  <c:v>254.00724290500426</c:v>
                </c:pt>
                <c:pt idx="3">
                  <c:v>319.19064836958569</c:v>
                </c:pt>
                <c:pt idx="4">
                  <c:v>310.13512761804247</c:v>
                </c:pt>
                <c:pt idx="5">
                  <c:v>217.51644463128423</c:v>
                </c:pt>
                <c:pt idx="6">
                  <c:v>249.88827466833152</c:v>
                </c:pt>
                <c:pt idx="7">
                  <c:v>272.79235992035672</c:v>
                </c:pt>
                <c:pt idx="8">
                  <c:v>224.15138375630545</c:v>
                </c:pt>
                <c:pt idx="9">
                  <c:v>121.71101850643277</c:v>
                </c:pt>
                <c:pt idx="10">
                  <c:v>342.25651648058681</c:v>
                </c:pt>
                <c:pt idx="11">
                  <c:v>313.44001224307817</c:v>
                </c:pt>
                <c:pt idx="12">
                  <c:v>239.107914846531</c:v>
                </c:pt>
                <c:pt idx="13">
                  <c:v>93.922877290039082</c:v>
                </c:pt>
                <c:pt idx="14">
                  <c:v>255.53522062144111</c:v>
                </c:pt>
                <c:pt idx="15">
                  <c:v>396.90698802494205</c:v>
                </c:pt>
                <c:pt idx="16">
                  <c:v>192.42007135948927</c:v>
                </c:pt>
                <c:pt idx="17">
                  <c:v>175.8509038078405</c:v>
                </c:pt>
                <c:pt idx="18">
                  <c:v>253.60931997619684</c:v>
                </c:pt>
                <c:pt idx="19">
                  <c:v>283.21028746558966</c:v>
                </c:pt>
                <c:pt idx="20">
                  <c:v>290.8601874108258</c:v>
                </c:pt>
                <c:pt idx="21">
                  <c:v>212.40159661581947</c:v>
                </c:pt>
                <c:pt idx="22">
                  <c:v>553.35812200742396</c:v>
                </c:pt>
                <c:pt idx="23">
                  <c:v>321.10855777094991</c:v>
                </c:pt>
                <c:pt idx="24">
                  <c:v>479.40101228380877</c:v>
                </c:pt>
                <c:pt idx="25">
                  <c:v>636.06991925677426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A1-A84C-BE27-1ABE5F72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114703"/>
        <c:axId val="1915391327"/>
      </c:scatterChart>
      <c:valAx>
        <c:axId val="191411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15391327"/>
        <c:crosses val="autoZero"/>
        <c:crossBetween val="midCat"/>
      </c:valAx>
      <c:valAx>
        <c:axId val="19153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14114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82550</xdr:colOff>
      <xdr:row>9</xdr:row>
      <xdr:rowOff>158750</xdr:rowOff>
    </xdr:from>
    <xdr:to>
      <xdr:col>14</xdr:col>
      <xdr:colOff>476250</xdr:colOff>
      <xdr:row>23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C549A0-BD74-F543-9BF8-829492500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63500</xdr:colOff>
      <xdr:row>6</xdr:row>
      <xdr:rowOff>139700</xdr:rowOff>
    </xdr:from>
    <xdr:ext cx="3867790" cy="43653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1865CBE-5EA8-1843-9948-2AFA90499BE0}"/>
            </a:ext>
          </a:extLst>
        </xdr:cNvPr>
        <xdr:cNvSpPr txBox="1"/>
      </xdr:nvSpPr>
      <xdr:spPr>
        <a:xfrm>
          <a:off x="8420100" y="1358900"/>
          <a:ext cx="3867790" cy="43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La ordenada al origen</a:t>
          </a:r>
          <a:r>
            <a:rPr lang="es-MX" sz="1100" baseline="0"/>
            <a:t> toma el valor de 664.88, lo que quiere</a:t>
          </a:r>
        </a:p>
        <a:p>
          <a:r>
            <a:rPr lang="es-MX" sz="1100" baseline="0"/>
            <a:t>decir que al no haber PNB el índice de precios toma dicho  valor  </a:t>
          </a:r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162424</xdr:rowOff>
    </xdr:from>
    <xdr:ext cx="1214783" cy="7807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68BAD94-E3C3-8344-BB1C-6B24DEB564BC}"/>
            </a:ext>
          </a:extLst>
        </xdr:cNvPr>
        <xdr:cNvSpPr txBox="1"/>
      </xdr:nvSpPr>
      <xdr:spPr>
        <a:xfrm>
          <a:off x="0" y="4096663"/>
          <a:ext cx="1214783" cy="780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Parece</a:t>
          </a:r>
          <a:r>
            <a:rPr lang="es-MX" sz="1100" baseline="0"/>
            <a:t> existir un patrón suave</a:t>
          </a:r>
        </a:p>
        <a:p>
          <a:r>
            <a:rPr lang="es-MX" sz="1100" baseline="0"/>
            <a:t>autocorrelación positiva</a:t>
          </a:r>
          <a:endParaRPr lang="es-MX" sz="1100"/>
        </a:p>
      </xdr:txBody>
    </xdr:sp>
    <xdr:clientData/>
  </xdr:oneCellAnchor>
  <xdr:twoCellAnchor>
    <xdr:from>
      <xdr:col>26</xdr:col>
      <xdr:colOff>438477</xdr:colOff>
      <xdr:row>3</xdr:row>
      <xdr:rowOff>195194</xdr:rowOff>
    </xdr:from>
    <xdr:to>
      <xdr:col>32</xdr:col>
      <xdr:colOff>74796</xdr:colOff>
      <xdr:row>17</xdr:row>
      <xdr:rowOff>104738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24190F8-57BB-5B4A-8F2B-C8FD33A94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423023</xdr:colOff>
      <xdr:row>32</xdr:row>
      <xdr:rowOff>2055</xdr:rowOff>
    </xdr:from>
    <xdr:to>
      <xdr:col>7</xdr:col>
      <xdr:colOff>807249</xdr:colOff>
      <xdr:row>45</xdr:row>
      <xdr:rowOff>125794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AB08451-DE93-584F-8389-28CFA504A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29</xdr:row>
      <xdr:rowOff>69702</xdr:rowOff>
    </xdr:from>
    <xdr:to>
      <xdr:col>5</xdr:col>
      <xdr:colOff>387603</xdr:colOff>
      <xdr:row>42</xdr:row>
      <xdr:rowOff>93608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72306EC-3104-7143-A9E4-33E219117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903270-8399-8A4C-8B58-3E842D8DFDB4}" name="Tabla1" displayName="Tabla1" ref="B3:D30" totalsRowShown="0">
  <autoFilter ref="B3:D30" xr:uid="{8E31B97B-CE16-5844-9986-6B6ACA67BB79}"/>
  <tableColumns count="3">
    <tableColumn id="1" xr3:uid="{808EEDBA-C403-834F-B6E1-212378DD25F2}" name="Año" dataDxfId="3"/>
    <tableColumn id="2" xr3:uid="{3B991570-45F4-7841-BB7E-B123E1EC8A56}" name="PNB"/>
    <tableColumn id="3" xr3:uid="{2F512D5F-EB75-AB4D-AF66-4EA507899ABC}" name="Índice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4CFC98-C6CA-C44D-965A-02CC61D51F49}" name="Tabla2" displayName="Tabla2" ref="E2:G29" totalsRowShown="0">
  <autoFilter ref="E2:G29" xr:uid="{7DC86729-D361-8C48-AC3E-90270065FCE7}"/>
  <tableColumns count="3">
    <tableColumn id="2" xr3:uid="{06FF8DAE-C07D-2D44-A92F-A1E781DFAAED}" name="tiempo" dataDxfId="2"/>
    <tableColumn id="3" xr3:uid="{E7AF9E9A-EB81-974F-8C91-0D7833000D05}" name="Residuos2" dataDxfId="1">
      <calculatedColumnFormula>D3-(B$2+B$3*C3)</calculatedColumnFormula>
    </tableColumn>
    <tableColumn id="4" xr3:uid="{DB3DC844-2029-AC42-B171-EBAC9E5B4E36}" name="Residuos3" dataDxfId="0">
      <calculatedColumnFormula>D4-(B$2+B$3*C4)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0F4C-CF54-A340-ABE9-DCC40DDF694C}">
  <dimension ref="A2:S30"/>
  <sheetViews>
    <sheetView zoomScaleNormal="100" workbookViewId="0">
      <selection activeCell="R4" sqref="R4"/>
    </sheetView>
  </sheetViews>
  <sheetFormatPr baseColWidth="10" defaultRowHeight="16" x14ac:dyDescent="0.2"/>
  <cols>
    <col min="6" max="6" width="11.5" bestFit="1" customWidth="1"/>
    <col min="10" max="10" width="11.5" bestFit="1" customWidth="1"/>
  </cols>
  <sheetData>
    <row r="2" spans="1:19" x14ac:dyDescent="0.2">
      <c r="I2" s="11" t="s">
        <v>23</v>
      </c>
      <c r="J2" s="11">
        <f>SUM(H4:H30)</f>
        <v>23449906.253499996</v>
      </c>
    </row>
    <row r="3" spans="1:19" x14ac:dyDescent="0.2">
      <c r="B3" s="7" t="s">
        <v>0</v>
      </c>
      <c r="C3" t="s">
        <v>1</v>
      </c>
      <c r="D3" t="s">
        <v>2</v>
      </c>
      <c r="F3" s="9" t="s">
        <v>7</v>
      </c>
      <c r="G3" s="9" t="s">
        <v>8</v>
      </c>
      <c r="H3" s="9" t="s">
        <v>24</v>
      </c>
      <c r="I3" s="21" t="s">
        <v>9</v>
      </c>
      <c r="J3" s="11">
        <f>SUM(G4:G30)</f>
        <v>48323986.219999999</v>
      </c>
      <c r="M3" s="20" t="s">
        <v>19</v>
      </c>
      <c r="N3" s="20" t="s">
        <v>20</v>
      </c>
      <c r="P3" s="24" t="s">
        <v>30</v>
      </c>
      <c r="Q3" s="25">
        <f>SUM(P4:P30)</f>
        <v>36155400.666666672</v>
      </c>
      <c r="R3" t="s">
        <v>31</v>
      </c>
      <c r="S3" t="s">
        <v>32</v>
      </c>
    </row>
    <row r="4" spans="1:19" x14ac:dyDescent="0.2">
      <c r="B4" s="8">
        <v>1990</v>
      </c>
      <c r="C4">
        <v>515</v>
      </c>
      <c r="D4">
        <v>618.04</v>
      </c>
      <c r="F4" s="10">
        <f>POWER(Tabla1[[#This Row],[PNB]],2)</f>
        <v>265225</v>
      </c>
      <c r="G4" s="10">
        <f>Tabla1[[#This Row],[PNB]]*Tabla1[[#This Row],[Índice ]]</f>
        <v>318290.59999999998</v>
      </c>
      <c r="H4" s="17">
        <f>POWER(Tabla1[[#This Row],[Índice ]],2)</f>
        <v>381973.44159999996</v>
      </c>
      <c r="I4" s="21" t="s">
        <v>4</v>
      </c>
      <c r="J4" s="11">
        <f>SUM(F4:F30)</f>
        <v>120192362</v>
      </c>
      <c r="M4" s="20">
        <f>(J4-POWER(J5,2)/27)/26</f>
        <v>1390592.3333333335</v>
      </c>
      <c r="N4" s="20">
        <f>(J2-POWER(J6,2)/27)/26</f>
        <v>43256.289533333278</v>
      </c>
      <c r="P4" s="24">
        <f>POWER(Tabla1[[#This Row],[PNB]]-L$5,2)</f>
        <v>1560556.160493827</v>
      </c>
    </row>
    <row r="5" spans="1:19" x14ac:dyDescent="0.2">
      <c r="B5" s="8">
        <v>1991</v>
      </c>
      <c r="C5">
        <v>534</v>
      </c>
      <c r="D5">
        <v>691.55</v>
      </c>
      <c r="F5" s="10">
        <f>POWER(Tabla1[[#This Row],[PNB]],2)</f>
        <v>285156</v>
      </c>
      <c r="G5" s="10">
        <f>Tabla1[[#This Row],[PNB]]*Tabla1[[#This Row],[Índice ]]</f>
        <v>369287.69999999995</v>
      </c>
      <c r="H5" s="17">
        <f>POWER(Tabla1[[#This Row],[Índice ]],2)</f>
        <v>478241.40249999991</v>
      </c>
      <c r="I5" s="21" t="s">
        <v>5</v>
      </c>
      <c r="J5" s="11">
        <f>SUM(Tabla1[PNB])</f>
        <v>47634</v>
      </c>
      <c r="K5" s="13" t="s">
        <v>12</v>
      </c>
      <c r="L5" s="19">
        <f>AVERAGE(Tabla1[PNB])</f>
        <v>1764.2222222222222</v>
      </c>
      <c r="M5" s="20" t="s">
        <v>21</v>
      </c>
      <c r="N5" s="20" t="s">
        <v>22</v>
      </c>
      <c r="P5" s="24">
        <f>POWER(Tabla1[[#This Row],[PNB]]-L$5,2)</f>
        <v>1513446.7160493827</v>
      </c>
    </row>
    <row r="6" spans="1:19" x14ac:dyDescent="0.2">
      <c r="B6" s="8">
        <v>1992</v>
      </c>
      <c r="C6">
        <v>575</v>
      </c>
      <c r="D6">
        <v>639.76</v>
      </c>
      <c r="F6" s="10">
        <f>POWER(Tabla1[[#This Row],[PNB]],2)</f>
        <v>330625</v>
      </c>
      <c r="G6" s="10">
        <f>Tabla1[[#This Row],[PNB]]*Tabla1[[#This Row],[Índice ]]</f>
        <v>367862</v>
      </c>
      <c r="H6" s="17">
        <f>POWER(Tabla1[[#This Row],[Índice ]],2)</f>
        <v>409292.85759999999</v>
      </c>
      <c r="I6" s="21" t="s">
        <v>6</v>
      </c>
      <c r="J6" s="11">
        <f>SUM(Tabla1[[Índice ]])</f>
        <v>24551.609999999997</v>
      </c>
      <c r="K6" s="13" t="s">
        <v>13</v>
      </c>
      <c r="L6" s="19">
        <f>AVERAGE(Tabla1[[Índice ]])</f>
        <v>909.31888888888875</v>
      </c>
      <c r="M6" s="20">
        <f>SQRT(M4)</f>
        <v>1179.2337907867691</v>
      </c>
      <c r="N6" s="20">
        <f>SQRT(N4)</f>
        <v>207.98146439847298</v>
      </c>
      <c r="P6" s="24">
        <f>POWER(Tabla1[[#This Row],[PNB]]-L$5,2)</f>
        <v>1414249.4938271604</v>
      </c>
    </row>
    <row r="7" spans="1:19" x14ac:dyDescent="0.2">
      <c r="A7" t="s">
        <v>3</v>
      </c>
      <c r="B7" s="8">
        <v>1993</v>
      </c>
      <c r="C7">
        <v>607</v>
      </c>
      <c r="D7">
        <v>714.81</v>
      </c>
      <c r="F7" s="10">
        <f>POWER(Tabla1[[#This Row],[PNB]],2)</f>
        <v>368449</v>
      </c>
      <c r="G7" s="10">
        <f>Tabla1[[#This Row],[PNB]]*Tabla1[[#This Row],[Índice ]]</f>
        <v>433889.67</v>
      </c>
      <c r="H7" s="17">
        <f>POWER(Tabla1[[#This Row],[Índice ]],2)</f>
        <v>510953.3360999999</v>
      </c>
      <c r="I7" s="22" t="s">
        <v>10</v>
      </c>
      <c r="J7" s="12">
        <f>L6-J8*L5</f>
        <v>664.87811690188948</v>
      </c>
      <c r="P7" s="24">
        <f>POWER(Tabla1[[#This Row],[PNB]]-L$5,2)</f>
        <v>1339163.2716049382</v>
      </c>
    </row>
    <row r="8" spans="1:19" x14ac:dyDescent="0.2">
      <c r="B8" s="8">
        <v>1994</v>
      </c>
      <c r="C8">
        <v>650</v>
      </c>
      <c r="D8">
        <v>834.05</v>
      </c>
      <c r="F8" s="10">
        <f>POWER(Tabla1[[#This Row],[PNB]],2)</f>
        <v>422500</v>
      </c>
      <c r="G8" s="10">
        <f>Tabla1[[#This Row],[PNB]]*Tabla1[[#This Row],[Índice ]]</f>
        <v>542132.5</v>
      </c>
      <c r="H8" s="17">
        <f>POWER(Tabla1[[#This Row],[Índice ]],2)</f>
        <v>695639.40249999997</v>
      </c>
      <c r="I8" s="22" t="s">
        <v>11</v>
      </c>
      <c r="J8" s="12">
        <f>(J3-27*L5*L6)/(J4-27*POWER(L5,2))</f>
        <v>0.13855441163137636</v>
      </c>
      <c r="P8" s="24">
        <f>POWER(Tabla1[[#This Row],[PNB]]-L$5,2)</f>
        <v>1241491.160493827</v>
      </c>
    </row>
    <row r="9" spans="1:19" x14ac:dyDescent="0.2">
      <c r="B9" s="8">
        <v>1995</v>
      </c>
      <c r="C9">
        <v>705</v>
      </c>
      <c r="D9">
        <v>910.88</v>
      </c>
      <c r="F9" s="10">
        <f>POWER(Tabla1[[#This Row],[PNB]],2)</f>
        <v>497025</v>
      </c>
      <c r="G9" s="10">
        <f>Tabla1[[#This Row],[PNB]]*Tabla1[[#This Row],[Índice ]]</f>
        <v>642170.4</v>
      </c>
      <c r="H9" s="17">
        <f>POWER(Tabla1[[#This Row],[Índice ]],2)</f>
        <v>829702.37439999997</v>
      </c>
      <c r="P9" s="24">
        <f>POWER(Tabla1[[#This Row],[PNB]]-L$5,2)</f>
        <v>1121951.7160493827</v>
      </c>
    </row>
    <row r="10" spans="1:19" x14ac:dyDescent="0.2">
      <c r="B10" s="8">
        <v>1996</v>
      </c>
      <c r="C10">
        <v>772</v>
      </c>
      <c r="D10">
        <v>873.6</v>
      </c>
      <c r="F10" s="10">
        <f>POWER(Tabla1[[#This Row],[PNB]],2)</f>
        <v>595984</v>
      </c>
      <c r="G10" s="10">
        <f>Tabla1[[#This Row],[PNB]]*Tabla1[[#This Row],[Índice ]]</f>
        <v>674419.20000000007</v>
      </c>
      <c r="H10" s="17">
        <f>POWER(Tabla1[[#This Row],[Índice ]],2)</f>
        <v>763176.96000000008</v>
      </c>
      <c r="P10" s="24">
        <f>POWER(Tabla1[[#This Row],[PNB]]-L$5,2)</f>
        <v>984504.93827160483</v>
      </c>
    </row>
    <row r="11" spans="1:19" x14ac:dyDescent="0.2">
      <c r="B11" s="8">
        <v>1997</v>
      </c>
      <c r="C11">
        <v>816</v>
      </c>
      <c r="D11">
        <v>879.12</v>
      </c>
      <c r="F11" s="10">
        <f>POWER(Tabla1[[#This Row],[PNB]],2)</f>
        <v>665856</v>
      </c>
      <c r="G11" s="10">
        <f>Tabla1[[#This Row],[PNB]]*Tabla1[[#This Row],[Índice ]]</f>
        <v>717361.92</v>
      </c>
      <c r="H11" s="17">
        <f>POWER(Tabla1[[#This Row],[Índice ]],2)</f>
        <v>772851.97440000006</v>
      </c>
      <c r="P11" s="24">
        <f>POWER(Tabla1[[#This Row],[PNB]]-L$5,2)</f>
        <v>899125.38271604932</v>
      </c>
    </row>
    <row r="12" spans="1:19" x14ac:dyDescent="0.2">
      <c r="B12" s="8">
        <v>1998</v>
      </c>
      <c r="C12">
        <v>873</v>
      </c>
      <c r="D12">
        <v>906</v>
      </c>
      <c r="F12" s="10">
        <f>POWER(Tabla1[[#This Row],[PNB]],2)</f>
        <v>762129</v>
      </c>
      <c r="G12" s="10">
        <f>Tabla1[[#This Row],[PNB]]*Tabla1[[#This Row],[Índice ]]</f>
        <v>790938</v>
      </c>
      <c r="H12" s="17">
        <f>POWER(Tabla1[[#This Row],[Índice ]],2)</f>
        <v>820836</v>
      </c>
      <c r="P12" s="24">
        <f>POWER(Tabla1[[#This Row],[PNB]]-L$5,2)</f>
        <v>794277.04938271595</v>
      </c>
    </row>
    <row r="13" spans="1:19" x14ac:dyDescent="0.2">
      <c r="B13" s="8">
        <v>1999</v>
      </c>
      <c r="C13">
        <v>964</v>
      </c>
      <c r="D13">
        <v>876.72</v>
      </c>
      <c r="F13" s="10">
        <f>POWER(Tabla1[[#This Row],[PNB]],2)</f>
        <v>929296</v>
      </c>
      <c r="G13" s="10">
        <f>Tabla1[[#This Row],[PNB]]*Tabla1[[#This Row],[Índice ]]</f>
        <v>845158.08000000007</v>
      </c>
      <c r="H13" s="17">
        <f>POWER(Tabla1[[#This Row],[Índice ]],2)</f>
        <v>768637.9584</v>
      </c>
      <c r="P13" s="24">
        <f>POWER(Tabla1[[#This Row],[PNB]]-L$5,2)</f>
        <v>640355.60493827157</v>
      </c>
    </row>
    <row r="14" spans="1:19" x14ac:dyDescent="0.2">
      <c r="B14" s="8">
        <v>2000</v>
      </c>
      <c r="C14">
        <v>1016</v>
      </c>
      <c r="D14">
        <v>753.19</v>
      </c>
      <c r="F14" s="10">
        <f>POWER(Tabla1[[#This Row],[PNB]],2)</f>
        <v>1032256</v>
      </c>
      <c r="G14" s="10">
        <f>Tabla1[[#This Row],[PNB]]*Tabla1[[#This Row],[Índice ]]</f>
        <v>765241.04</v>
      </c>
      <c r="H14" s="17">
        <f>POWER(Tabla1[[#This Row],[Índice ]],2)</f>
        <v>567295.17610000004</v>
      </c>
      <c r="P14" s="24">
        <f>POWER(Tabla1[[#This Row],[PNB]]-L$5,2)</f>
        <v>559836.49382716045</v>
      </c>
    </row>
    <row r="15" spans="1:19" x14ac:dyDescent="0.2">
      <c r="B15" s="8">
        <v>2001</v>
      </c>
      <c r="C15">
        <v>1103</v>
      </c>
      <c r="D15">
        <v>884.76</v>
      </c>
      <c r="F15" s="10">
        <f>POWER(Tabla1[[#This Row],[PNB]],2)</f>
        <v>1216609</v>
      </c>
      <c r="G15" s="10">
        <f>Tabla1[[#This Row],[PNB]]*Tabla1[[#This Row],[Índice ]]</f>
        <v>975890.28</v>
      </c>
      <c r="H15" s="17">
        <f>POWER(Tabla1[[#This Row],[Índice ]],2)</f>
        <v>782800.25760000001</v>
      </c>
      <c r="P15" s="24">
        <f>POWER(Tabla1[[#This Row],[PNB]]-L$5,2)</f>
        <v>437214.82716049376</v>
      </c>
    </row>
    <row r="16" spans="1:19" x14ac:dyDescent="0.2">
      <c r="B16" s="8">
        <v>2002</v>
      </c>
      <c r="C16">
        <v>1213</v>
      </c>
      <c r="D16">
        <v>950.71</v>
      </c>
      <c r="F16" s="10">
        <f>POWER(Tabla1[[#This Row],[PNB]],2)</f>
        <v>1471369</v>
      </c>
      <c r="G16" s="10">
        <f>Tabla1[[#This Row],[PNB]]*Tabla1[[#This Row],[Índice ]]</f>
        <v>1153211.23</v>
      </c>
      <c r="H16" s="17">
        <f>POWER(Tabla1[[#This Row],[Índice ]],2)</f>
        <v>903849.50410000002</v>
      </c>
      <c r="P16" s="24">
        <f>POWER(Tabla1[[#This Row],[PNB]]-L$5,2)</f>
        <v>303845.93827160489</v>
      </c>
    </row>
    <row r="17" spans="2:16" x14ac:dyDescent="0.2">
      <c r="B17" s="8">
        <v>2003</v>
      </c>
      <c r="C17">
        <v>1359</v>
      </c>
      <c r="D17">
        <v>923.88</v>
      </c>
      <c r="F17" s="10">
        <f>POWER(Tabla1[[#This Row],[PNB]],2)</f>
        <v>1846881</v>
      </c>
      <c r="G17" s="10">
        <f>Tabla1[[#This Row],[PNB]]*Tabla1[[#This Row],[Índice ]]</f>
        <v>1255552.92</v>
      </c>
      <c r="H17" s="17">
        <f>POWER(Tabla1[[#This Row],[Índice ]],2)</f>
        <v>853554.25439999998</v>
      </c>
      <c r="P17" s="24">
        <f>POWER(Tabla1[[#This Row],[PNB]]-L$5,2)</f>
        <v>164205.04938271601</v>
      </c>
    </row>
    <row r="18" spans="2:16" x14ac:dyDescent="0.2">
      <c r="B18" s="8">
        <v>2004</v>
      </c>
      <c r="C18">
        <v>1473</v>
      </c>
      <c r="D18">
        <v>759.37</v>
      </c>
      <c r="F18" s="10">
        <f>POWER(Tabla1[[#This Row],[PNB]],2)</f>
        <v>2169729</v>
      </c>
      <c r="G18" s="10">
        <f>Tabla1[[#This Row],[PNB]]*Tabla1[[#This Row],[Índice ]]</f>
        <v>1118552.01</v>
      </c>
      <c r="H18" s="17">
        <f>POWER(Tabla1[[#This Row],[Índice ]],2)</f>
        <v>576642.79689999996</v>
      </c>
      <c r="P18" s="24">
        <f>POWER(Tabla1[[#This Row],[PNB]]-L$5,2)</f>
        <v>84810.382716049353</v>
      </c>
    </row>
    <row r="19" spans="2:16" x14ac:dyDescent="0.2">
      <c r="B19" s="8">
        <v>2005</v>
      </c>
      <c r="C19">
        <v>1598</v>
      </c>
      <c r="D19">
        <v>802.49</v>
      </c>
      <c r="F19" s="10">
        <f>POWER(Tabla1[[#This Row],[PNB]],2)</f>
        <v>2553604</v>
      </c>
      <c r="G19" s="10">
        <f>Tabla1[[#This Row],[PNB]]*Tabla1[[#This Row],[Índice ]]</f>
        <v>1282379.02</v>
      </c>
      <c r="H19" s="17">
        <f>POWER(Tabla1[[#This Row],[Índice ]],2)</f>
        <v>643990.20010000002</v>
      </c>
      <c r="P19" s="24">
        <f>POWER(Tabla1[[#This Row],[PNB]]-L$5,2)</f>
        <v>27629.827160493809</v>
      </c>
    </row>
    <row r="20" spans="2:16" x14ac:dyDescent="0.2">
      <c r="B20" s="8">
        <v>2006</v>
      </c>
      <c r="C20">
        <v>1783</v>
      </c>
      <c r="D20">
        <v>974.92</v>
      </c>
      <c r="F20" s="10">
        <f>POWER(Tabla1[[#This Row],[PNB]],2)</f>
        <v>3179089</v>
      </c>
      <c r="G20" s="10">
        <f>Tabla1[[#This Row],[PNB]]*Tabla1[[#This Row],[Índice ]]</f>
        <v>1738282.3599999999</v>
      </c>
      <c r="H20" s="17">
        <f>POWER(Tabla1[[#This Row],[Índice ]],2)</f>
        <v>950469.00639999995</v>
      </c>
      <c r="P20" s="24">
        <f>POWER(Tabla1[[#This Row],[PNB]]-L$5,2)</f>
        <v>352.60493827160684</v>
      </c>
    </row>
    <row r="21" spans="2:16" x14ac:dyDescent="0.2">
      <c r="B21" s="8">
        <v>2007</v>
      </c>
      <c r="C21">
        <v>1991</v>
      </c>
      <c r="D21">
        <v>894.63</v>
      </c>
      <c r="F21" s="10">
        <f>POWER(Tabla1[[#This Row],[PNB]],2)</f>
        <v>3964081</v>
      </c>
      <c r="G21" s="10">
        <f>Tabla1[[#This Row],[PNB]]*Tabla1[[#This Row],[Índice ]]</f>
        <v>1781208.33</v>
      </c>
      <c r="H21" s="17">
        <f>POWER(Tabla1[[#This Row],[Índice ]],2)</f>
        <v>800362.83689999999</v>
      </c>
      <c r="P21" s="24">
        <f>POWER(Tabla1[[#This Row],[PNB]]-L$5,2)</f>
        <v>51428.160493827185</v>
      </c>
    </row>
    <row r="22" spans="2:16" x14ac:dyDescent="0.2">
      <c r="B22" s="8">
        <v>2008</v>
      </c>
      <c r="C22">
        <v>2250</v>
      </c>
      <c r="D22">
        <v>820.23</v>
      </c>
      <c r="F22" s="10">
        <f>POWER(Tabla1[[#This Row],[PNB]],2)</f>
        <v>5062500</v>
      </c>
      <c r="G22" s="10">
        <f>Tabla1[[#This Row],[PNB]]*Tabla1[[#This Row],[Índice ]]</f>
        <v>1845517.5</v>
      </c>
      <c r="H22" s="17">
        <f>POWER(Tabla1[[#This Row],[Índice ]],2)</f>
        <v>672777.25290000008</v>
      </c>
      <c r="P22" s="24">
        <f>POWER(Tabla1[[#This Row],[PNB]]-L$5,2)</f>
        <v>235980.0493827161</v>
      </c>
    </row>
    <row r="23" spans="2:16" x14ac:dyDescent="0.2">
      <c r="B23" s="8">
        <v>2009</v>
      </c>
      <c r="C23">
        <v>2508</v>
      </c>
      <c r="D23">
        <v>844.4</v>
      </c>
      <c r="F23" s="10">
        <f>POWER(Tabla1[[#This Row],[PNB]],2)</f>
        <v>6290064</v>
      </c>
      <c r="G23" s="10">
        <f>Tabla1[[#This Row],[PNB]]*Tabla1[[#This Row],[Índice ]]</f>
        <v>2117755.1999999997</v>
      </c>
      <c r="H23" s="17">
        <f>POWER(Tabla1[[#This Row],[Índice ]],2)</f>
        <v>713011.36</v>
      </c>
      <c r="P23" s="24">
        <f>POWER(Tabla1[[#This Row],[PNB]]-L$5,2)</f>
        <v>553205.38271604944</v>
      </c>
    </row>
    <row r="24" spans="2:16" x14ac:dyDescent="0.2">
      <c r="B24" s="8">
        <v>2010</v>
      </c>
      <c r="C24">
        <v>2732</v>
      </c>
      <c r="D24">
        <v>891.41</v>
      </c>
      <c r="F24" s="10">
        <f>POWER(Tabla1[[#This Row],[PNB]],2)</f>
        <v>7463824</v>
      </c>
      <c r="G24" s="10">
        <f>Tabla1[[#This Row],[PNB]]*Tabla1[[#This Row],[Índice ]]</f>
        <v>2435332.12</v>
      </c>
      <c r="H24" s="17">
        <f>POWER(Tabla1[[#This Row],[Índice ]],2)</f>
        <v>794611.78809999989</v>
      </c>
      <c r="P24" s="24">
        <f>POWER(Tabla1[[#This Row],[PNB]]-L$5,2)</f>
        <v>936593.82716049394</v>
      </c>
    </row>
    <row r="25" spans="2:16" x14ac:dyDescent="0.2">
      <c r="B25" s="8">
        <v>2011</v>
      </c>
      <c r="C25">
        <v>3053</v>
      </c>
      <c r="D25">
        <v>932.92</v>
      </c>
      <c r="F25" s="10">
        <f>POWER(Tabla1[[#This Row],[PNB]],2)</f>
        <v>9320809</v>
      </c>
      <c r="G25" s="10">
        <f>Tabla1[[#This Row],[PNB]]*Tabla1[[#This Row],[Índice ]]</f>
        <v>2848204.76</v>
      </c>
      <c r="H25" s="17">
        <f>POWER(Tabla1[[#This Row],[Índice ]],2)</f>
        <v>870339.72639999993</v>
      </c>
      <c r="P25" s="24">
        <f>POWER(Tabla1[[#This Row],[PNB]]-L$5,2)</f>
        <v>1660948.1604938272</v>
      </c>
    </row>
    <row r="26" spans="2:16" x14ac:dyDescent="0.2">
      <c r="B26" s="8">
        <v>2012</v>
      </c>
      <c r="C26">
        <v>3166</v>
      </c>
      <c r="D26">
        <v>884.36</v>
      </c>
      <c r="F26" s="10">
        <f>POWER(Tabla1[[#This Row],[PNB]],2)</f>
        <v>10023556</v>
      </c>
      <c r="G26" s="10">
        <f>Tabla1[[#This Row],[PNB]]*Tabla1[[#This Row],[Índice ]]</f>
        <v>2799883.7600000002</v>
      </c>
      <c r="H26" s="17">
        <f>POWER(Tabla1[[#This Row],[Índice ]],2)</f>
        <v>782092.60959999997</v>
      </c>
      <c r="P26" s="24">
        <f>POWER(Tabla1[[#This Row],[PNB]]-L$5,2)</f>
        <v>1964980.9382716052</v>
      </c>
    </row>
    <row r="27" spans="2:16" x14ac:dyDescent="0.2">
      <c r="B27" s="8">
        <v>2013</v>
      </c>
      <c r="C27">
        <v>3406</v>
      </c>
      <c r="D27">
        <v>1190.3399999999999</v>
      </c>
      <c r="F27" s="10">
        <f>POWER(Tabla1[[#This Row],[PNB]],2)</f>
        <v>11600836</v>
      </c>
      <c r="G27" s="10">
        <f>Tabla1[[#This Row],[PNB]]*Tabla1[[#This Row],[Índice ]]</f>
        <v>4054298.0399999996</v>
      </c>
      <c r="H27" s="17">
        <f>POWER(Tabla1[[#This Row],[Índice ]],2)</f>
        <v>1416909.3155999999</v>
      </c>
      <c r="P27" s="24">
        <f>POWER(Tabla1[[#This Row],[PNB]]-L$5,2)</f>
        <v>2695434.2716049384</v>
      </c>
    </row>
    <row r="28" spans="2:16" x14ac:dyDescent="0.2">
      <c r="B28" s="8">
        <v>2014</v>
      </c>
      <c r="C28">
        <v>3765</v>
      </c>
      <c r="D28">
        <v>1178.48</v>
      </c>
      <c r="F28" s="10">
        <f>POWER(Tabla1[[#This Row],[PNB]],2)</f>
        <v>14175225</v>
      </c>
      <c r="G28" s="10">
        <f>Tabla1[[#This Row],[PNB]]*Tabla1[[#This Row],[Índice ]]</f>
        <v>4436977.2</v>
      </c>
      <c r="H28" s="17">
        <f>POWER(Tabla1[[#This Row],[Índice ]],2)</f>
        <v>1388815.1104000001</v>
      </c>
      <c r="P28" s="24">
        <f>POWER(Tabla1[[#This Row],[PNB]]-L$5,2)</f>
        <v>4003111.7160493829</v>
      </c>
    </row>
    <row r="29" spans="2:16" x14ac:dyDescent="0.2">
      <c r="B29" s="8">
        <v>2015</v>
      </c>
      <c r="C29">
        <v>3998</v>
      </c>
      <c r="D29">
        <v>1328.23</v>
      </c>
      <c r="F29" s="10">
        <f>POWER(Tabla1[[#This Row],[PNB]],2)</f>
        <v>15984004</v>
      </c>
      <c r="G29" s="10">
        <f>Tabla1[[#This Row],[PNB]]*Tabla1[[#This Row],[Índice ]]</f>
        <v>5310263.54</v>
      </c>
      <c r="H29" s="17">
        <f>POWER(Tabla1[[#This Row],[Índice ]],2)</f>
        <v>1764194.9329000001</v>
      </c>
      <c r="P29" s="24">
        <f>POWER(Tabla1[[#This Row],[PNB]]-L$5,2)</f>
        <v>4989763.1604938274</v>
      </c>
    </row>
    <row r="30" spans="2:16" x14ac:dyDescent="0.2">
      <c r="B30" s="8">
        <v>2016</v>
      </c>
      <c r="C30">
        <v>4209</v>
      </c>
      <c r="D30">
        <v>1592.76</v>
      </c>
      <c r="F30" s="10">
        <f>POWER(Tabla1[[#This Row],[PNB]],2)</f>
        <v>17715681</v>
      </c>
      <c r="G30" s="10">
        <f>Tabla1[[#This Row],[PNB]]*Tabla1[[#This Row],[Índice ]]</f>
        <v>6703926.8399999999</v>
      </c>
      <c r="H30" s="17">
        <f>POWER(Tabla1[[#This Row],[Índice ]],2)</f>
        <v>2536884.4175999998</v>
      </c>
      <c r="P30" s="24">
        <f>POWER(Tabla1[[#This Row],[PNB]]-L$5,2)</f>
        <v>5976938.3827160494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676A-06C9-5C49-8845-2985C3725469}">
  <dimension ref="A2:U30"/>
  <sheetViews>
    <sheetView tabSelected="1" zoomScale="86" zoomScaleNormal="92" workbookViewId="0">
      <selection activeCell="A30" sqref="A30"/>
    </sheetView>
  </sheetViews>
  <sheetFormatPr baseColWidth="10" defaultRowHeight="16" x14ac:dyDescent="0.2"/>
  <cols>
    <col min="5" max="5" width="11.6640625" customWidth="1"/>
    <col min="8" max="8" width="11.83203125" bestFit="1" customWidth="1"/>
  </cols>
  <sheetData>
    <row r="2" spans="1:21" x14ac:dyDescent="0.2">
      <c r="A2" s="13" t="s">
        <v>10</v>
      </c>
      <c r="B2" s="13">
        <v>664.87811699999997</v>
      </c>
      <c r="C2" s="1" t="s">
        <v>1</v>
      </c>
      <c r="D2" s="2" t="s">
        <v>2</v>
      </c>
      <c r="E2" t="s">
        <v>14</v>
      </c>
      <c r="F2" t="s">
        <v>15</v>
      </c>
      <c r="G2" t="s">
        <v>33</v>
      </c>
      <c r="H2" s="15" t="s">
        <v>16</v>
      </c>
      <c r="I2" s="15" t="s">
        <v>17</v>
      </c>
      <c r="J2" s="17" t="s">
        <v>18</v>
      </c>
      <c r="K2" t="s">
        <v>29</v>
      </c>
      <c r="L2" t="s">
        <v>35</v>
      </c>
      <c r="N2" s="23" t="s">
        <v>25</v>
      </c>
      <c r="O2" s="23" t="s">
        <v>26</v>
      </c>
      <c r="R2" s="29" t="s">
        <v>8</v>
      </c>
      <c r="S2" s="29" t="s">
        <v>7</v>
      </c>
      <c r="T2" t="s">
        <v>12</v>
      </c>
      <c r="U2" t="s">
        <v>13</v>
      </c>
    </row>
    <row r="3" spans="1:21" x14ac:dyDescent="0.2">
      <c r="A3" s="13" t="s">
        <v>11</v>
      </c>
      <c r="B3" s="13">
        <v>0.13855440999999999</v>
      </c>
      <c r="C3" s="3">
        <v>515</v>
      </c>
      <c r="D3" s="4">
        <v>618.04</v>
      </c>
      <c r="E3" s="14">
        <v>1990</v>
      </c>
      <c r="F3" s="14">
        <f t="shared" ref="F3:F27" si="0">D3-(B$2+B$3*C3)</f>
        <v>-118.19363814999997</v>
      </c>
      <c r="G3" s="14">
        <f>D4-(B$2+B$3*C4)</f>
        <v>-47.316171940000004</v>
      </c>
      <c r="H3" s="15">
        <f>POWER(Tabla2[[#This Row],[Residuos2]],2)</f>
        <v>13969.736099133128</v>
      </c>
      <c r="I3" s="15"/>
      <c r="J3" s="17"/>
      <c r="N3" s="23"/>
      <c r="O3" s="23"/>
      <c r="R3" s="29"/>
      <c r="S3" s="29"/>
    </row>
    <row r="4" spans="1:21" x14ac:dyDescent="0.2">
      <c r="C4" s="5">
        <v>534</v>
      </c>
      <c r="D4" s="6">
        <v>691.55</v>
      </c>
      <c r="E4" s="14">
        <v>1991</v>
      </c>
      <c r="F4" s="14">
        <f>D4-(B$2+B$3*C4)</f>
        <v>-47.316171940000004</v>
      </c>
      <c r="G4" s="14">
        <f>D5-(B$2+B$3*C5)</f>
        <v>-104.78690274999997</v>
      </c>
      <c r="H4" s="15">
        <f>POWER(Tabla2[[#This Row],[Residuos2]],2)</f>
        <v>2238.8201270556438</v>
      </c>
      <c r="I4" s="15">
        <f>Tabla2[[#This Row],[Residuos2]]-F3</f>
        <v>70.877466209999966</v>
      </c>
      <c r="J4" s="17">
        <f>POWER(I4,2)</f>
        <v>5023.6152163496872</v>
      </c>
      <c r="K4">
        <f>(1/25)*SUM(L4:L29)</f>
        <v>10431.685767842035</v>
      </c>
      <c r="L4">
        <f>POWER((N4-Q$12*(1-M$20)-Q$13*O4),2)</f>
        <v>1633.1704749764529</v>
      </c>
      <c r="N4" s="23">
        <f>D4-M$20*D3</f>
        <v>246.39160310899223</v>
      </c>
      <c r="O4" s="23">
        <f>C4-M$20*C3</f>
        <v>163.05867840452237</v>
      </c>
      <c r="R4" s="29">
        <f>N4*O4</f>
        <v>40176.289172923876</v>
      </c>
      <c r="S4" s="29">
        <f>POWER(O4,2)</f>
        <v>26588.132603029448</v>
      </c>
      <c r="T4" cm="1">
        <f t="array" ref="T4">SUM(O4:O29/26)</f>
        <v>609.27245031489053</v>
      </c>
      <c r="U4" cm="1">
        <f t="array" ref="U4">SUM(N4:N29/26)</f>
        <v>284.49607085046074</v>
      </c>
    </row>
    <row r="5" spans="1:21" x14ac:dyDescent="0.2">
      <c r="C5" s="3">
        <v>575</v>
      </c>
      <c r="D5" s="4">
        <v>639.76</v>
      </c>
      <c r="E5" s="14">
        <v>1992</v>
      </c>
      <c r="F5" s="14">
        <f>D5-(B$2+B$3*C5)</f>
        <v>-104.78690274999997</v>
      </c>
      <c r="G5" s="14">
        <f t="shared" ref="G5:G27" si="1">D6-(B$2+B$3*C6)</f>
        <v>-34.170643870000049</v>
      </c>
      <c r="H5" s="15">
        <f>POWER(Tabla2[[#This Row],[Residuos2]],2)</f>
        <v>10980.29498793795</v>
      </c>
      <c r="I5" s="15">
        <f>Tabla2[[#This Row],[Residuos2]]-F4</f>
        <v>-57.470730809999964</v>
      </c>
      <c r="J5" s="17">
        <f t="shared" ref="J5:J29" si="2">POWER(I5,2)</f>
        <v>3302.8848998354792</v>
      </c>
      <c r="L5">
        <f t="shared" ref="L5:L29" si="3">POWER((N5-Q$12*(1-M$20)-Q$13*O5),2)</f>
        <v>4779.1298667269812</v>
      </c>
      <c r="N5" s="23">
        <f>D5-D4*M$20</f>
        <v>141.65423116630575</v>
      </c>
      <c r="O5" s="23">
        <f>C5-M$20*C4</f>
        <v>190.37346459808725</v>
      </c>
      <c r="R5" s="29">
        <f t="shared" ref="R5:R29" si="4">N5*O5</f>
        <v>26967.206762107977</v>
      </c>
      <c r="S5" s="29">
        <f t="shared" ref="S5:S29" si="5">POWER(O5,2)</f>
        <v>36242.056023079182</v>
      </c>
    </row>
    <row r="6" spans="1:21" x14ac:dyDescent="0.2">
      <c r="C6" s="5">
        <v>607</v>
      </c>
      <c r="D6" s="6">
        <v>714.81</v>
      </c>
      <c r="E6" s="14">
        <v>1993</v>
      </c>
      <c r="F6" s="14">
        <f t="shared" si="0"/>
        <v>-34.170643870000049</v>
      </c>
      <c r="G6" s="14">
        <f t="shared" si="1"/>
        <v>79.111516499999993</v>
      </c>
      <c r="H6" s="15">
        <f>POWER(Tabla2[[#This Row],[Residuos2]],2)</f>
        <v>1167.6329024903719</v>
      </c>
      <c r="I6" s="15">
        <f>Tabla2[[#This Row],[Residuos2]]-F5</f>
        <v>70.616258879999918</v>
      </c>
      <c r="J6" s="17">
        <f t="shared" si="2"/>
        <v>4986.6560182071671</v>
      </c>
      <c r="L6">
        <f t="shared" si="3"/>
        <v>1830.757577135879</v>
      </c>
      <c r="N6" s="23">
        <f t="shared" ref="N6" si="6">D6-M$20*D5</f>
        <v>254.00724290500426</v>
      </c>
      <c r="O6" s="23">
        <f t="shared" ref="O6:O29" si="7">C6-M$20*C5</f>
        <v>192.84221375262206</v>
      </c>
      <c r="R6" s="29">
        <f t="shared" si="4"/>
        <v>48983.319031001025</v>
      </c>
      <c r="S6" s="29">
        <f t="shared" si="5"/>
        <v>37188.119405011974</v>
      </c>
    </row>
    <row r="7" spans="1:21" x14ac:dyDescent="0.2">
      <c r="C7" s="3">
        <v>650</v>
      </c>
      <c r="D7" s="4">
        <v>834.05</v>
      </c>
      <c r="E7" s="14">
        <v>1994</v>
      </c>
      <c r="F7" s="14">
        <f t="shared" si="0"/>
        <v>79.111516499999993</v>
      </c>
      <c r="G7" s="14">
        <f t="shared" si="1"/>
        <v>148.32102395000004</v>
      </c>
      <c r="H7" s="15">
        <f>POWER(Tabla2[[#This Row],[Residuos2]],2)</f>
        <v>6258.6320429297712</v>
      </c>
      <c r="I7" s="15">
        <f>Tabla2[[#This Row],[Residuos2]]-F6</f>
        <v>113.28216037000004</v>
      </c>
      <c r="J7" s="17">
        <f t="shared" si="2"/>
        <v>12832.847858094408</v>
      </c>
      <c r="L7">
        <f t="shared" si="3"/>
        <v>10911.910090903431</v>
      </c>
      <c r="N7" s="23">
        <f>D7-D6*M$20</f>
        <v>319.19064836958569</v>
      </c>
      <c r="O7" s="23">
        <f t="shared" si="7"/>
        <v>212.79343260494193</v>
      </c>
      <c r="R7" s="29">
        <f t="shared" si="4"/>
        <v>67921.673721961153</v>
      </c>
      <c r="S7" s="29">
        <f t="shared" si="5"/>
        <v>45281.044959793959</v>
      </c>
    </row>
    <row r="8" spans="1:21" x14ac:dyDescent="0.2">
      <c r="C8" s="5">
        <v>705</v>
      </c>
      <c r="D8" s="6">
        <v>910.88</v>
      </c>
      <c r="E8" s="14">
        <v>1995</v>
      </c>
      <c r="F8" s="14">
        <f t="shared" si="0"/>
        <v>148.32102395000004</v>
      </c>
      <c r="G8" s="14">
        <f t="shared" si="1"/>
        <v>101.75787848000004</v>
      </c>
      <c r="H8" s="15">
        <f>POWER(Tabla2[[#This Row],[Residuos2]],2)</f>
        <v>21999.126145576487</v>
      </c>
      <c r="I8" s="15">
        <f>Tabla2[[#This Row],[Residuos2]]-F7</f>
        <v>69.209507450000046</v>
      </c>
      <c r="J8" s="17">
        <f t="shared" si="2"/>
        <v>4789.9559214716119</v>
      </c>
      <c r="L8">
        <f t="shared" si="3"/>
        <v>8313.1543712603761</v>
      </c>
      <c r="N8" s="23">
        <f>D8-M$20*D7</f>
        <v>310.13512761804247</v>
      </c>
      <c r="O8" s="23">
        <f t="shared" si="7"/>
        <v>236.8216329377467</v>
      </c>
      <c r="R8" s="29">
        <f t="shared" si="4"/>
        <v>73446.707353861289</v>
      </c>
      <c r="S8" s="29">
        <f t="shared" si="5"/>
        <v>56084.485827300836</v>
      </c>
    </row>
    <row r="9" spans="1:21" x14ac:dyDescent="0.2">
      <c r="C9" s="3">
        <v>772</v>
      </c>
      <c r="D9" s="4">
        <v>873.6</v>
      </c>
      <c r="E9" s="14">
        <v>1996</v>
      </c>
      <c r="F9" s="14">
        <f t="shared" si="0"/>
        <v>101.75787848000004</v>
      </c>
      <c r="G9" s="14">
        <f t="shared" si="1"/>
        <v>101.18148444000008</v>
      </c>
      <c r="H9" s="15">
        <f>POWER(Tabla2[[#This Row],[Residuos2]],2)</f>
        <v>10354.665832750456</v>
      </c>
      <c r="I9" s="15">
        <f>Tabla2[[#This Row],[Residuos2]]-F8</f>
        <v>-46.563145469999995</v>
      </c>
      <c r="J9" s="17">
        <f t="shared" si="2"/>
        <v>2168.1265160603812</v>
      </c>
      <c r="L9">
        <f t="shared" si="3"/>
        <v>39.198912838368891</v>
      </c>
      <c r="N9" s="23">
        <f>D9-D8*M$20</f>
        <v>217.51644463128423</v>
      </c>
      <c r="O9" s="23">
        <f t="shared" si="7"/>
        <v>264.20654034017139</v>
      </c>
      <c r="R9" s="29">
        <f t="shared" si="4"/>
        <v>57469.267303126049</v>
      </c>
      <c r="S9" s="29">
        <f t="shared" si="5"/>
        <v>69805.095958522608</v>
      </c>
    </row>
    <row r="10" spans="1:21" x14ac:dyDescent="0.2">
      <c r="C10" s="5">
        <v>816</v>
      </c>
      <c r="D10" s="6">
        <v>879.12</v>
      </c>
      <c r="E10" s="14">
        <v>1997</v>
      </c>
      <c r="F10" s="14">
        <f t="shared" si="0"/>
        <v>101.18148444000008</v>
      </c>
      <c r="G10" s="14">
        <f t="shared" si="1"/>
        <v>120.16388307</v>
      </c>
      <c r="H10" s="15">
        <f>POWER(Tabla2[[#This Row],[Residuos2]],2)</f>
        <v>10237.692793481978</v>
      </c>
      <c r="I10" s="15">
        <f>Tabla2[[#This Row],[Residuos2]]-F9</f>
        <v>-0.5763940399999683</v>
      </c>
      <c r="J10" s="17">
        <f t="shared" si="2"/>
        <v>0.33223008934748505</v>
      </c>
      <c r="L10">
        <f t="shared" si="3"/>
        <v>721.47267851069807</v>
      </c>
      <c r="N10" s="23">
        <f>D10-M$20*D9</f>
        <v>249.88827466833152</v>
      </c>
      <c r="O10" s="23">
        <f t="shared" si="7"/>
        <v>259.9481548122161</v>
      </c>
      <c r="R10" s="29">
        <f t="shared" si="4"/>
        <v>64957.995909241021</v>
      </c>
      <c r="S10" s="29">
        <f t="shared" si="5"/>
        <v>67573.043190275872</v>
      </c>
    </row>
    <row r="11" spans="1:21" x14ac:dyDescent="0.2">
      <c r="C11" s="3">
        <v>873</v>
      </c>
      <c r="D11" s="4">
        <v>906</v>
      </c>
      <c r="E11" s="14">
        <v>1998</v>
      </c>
      <c r="F11" s="14">
        <f t="shared" si="0"/>
        <v>120.16388307</v>
      </c>
      <c r="G11" s="14">
        <f t="shared" si="1"/>
        <v>78.27543176000006</v>
      </c>
      <c r="H11" s="15">
        <f>POWER(Tabla2[[#This Row],[Residuos2]],2)</f>
        <v>14439.358794460632</v>
      </c>
      <c r="I11" s="15">
        <f>Tabla2[[#This Row],[Residuos2]]-F10</f>
        <v>18.982398629999921</v>
      </c>
      <c r="J11" s="17">
        <f t="shared" si="2"/>
        <v>360.33145774822287</v>
      </c>
      <c r="L11">
        <f t="shared" si="3"/>
        <v>2053.0938083351975</v>
      </c>
      <c r="N11" s="23">
        <f t="shared" ref="N11" si="8">D11-D10*M$20</f>
        <v>272.79235992035672</v>
      </c>
      <c r="O11" s="23">
        <f t="shared" si="7"/>
        <v>285.25608073415583</v>
      </c>
      <c r="R11" s="29">
        <f t="shared" si="4"/>
        <v>77815.679445102171</v>
      </c>
      <c r="S11" s="29">
        <f t="shared" si="5"/>
        <v>81371.031595811233</v>
      </c>
    </row>
    <row r="12" spans="1:21" x14ac:dyDescent="0.2">
      <c r="C12" s="5">
        <v>964</v>
      </c>
      <c r="D12" s="6">
        <v>876.72</v>
      </c>
      <c r="E12" s="14">
        <v>1999</v>
      </c>
      <c r="F12" s="14">
        <f t="shared" si="0"/>
        <v>78.27543176000006</v>
      </c>
      <c r="G12" s="14">
        <f t="shared" si="1"/>
        <v>-52.459397559999843</v>
      </c>
      <c r="H12" s="15">
        <f>POWER(Tabla2[[#This Row],[Residuos2]],2)</f>
        <v>6127.0432172144265</v>
      </c>
      <c r="I12" s="15">
        <f>Tabla2[[#This Row],[Residuos2]]-F11</f>
        <v>-41.888451309999937</v>
      </c>
      <c r="J12" s="17">
        <f t="shared" si="2"/>
        <v>1754.6423531502355</v>
      </c>
      <c r="L12">
        <f t="shared" si="3"/>
        <v>146.85176983316063</v>
      </c>
      <c r="N12" s="23">
        <f>D12-M$20*D11</f>
        <v>224.15138375630545</v>
      </c>
      <c r="O12" s="23">
        <f t="shared" si="7"/>
        <v>335.20043931485054</v>
      </c>
      <c r="P12" s="20" t="s">
        <v>27</v>
      </c>
      <c r="Q12" s="28">
        <f>(U4-Q13*T4)/(1-M20)</f>
        <v>633.78848346355198</v>
      </c>
      <c r="R12" s="29">
        <f t="shared" si="4"/>
        <v>75135.642308145238</v>
      </c>
      <c r="S12" s="29">
        <f t="shared" si="5"/>
        <v>112359.3345168688</v>
      </c>
    </row>
    <row r="13" spans="1:21" x14ac:dyDescent="0.2">
      <c r="C13" s="3">
        <v>1016</v>
      </c>
      <c r="D13" s="4">
        <v>753.19</v>
      </c>
      <c r="E13" s="14">
        <v>2000</v>
      </c>
      <c r="F13" s="14">
        <f t="shared" si="0"/>
        <v>-52.459397559999843</v>
      </c>
      <c r="G13" s="14">
        <f t="shared" si="1"/>
        <v>67.056368770000063</v>
      </c>
      <c r="H13" s="15">
        <f>POWER(Tabla2[[#This Row],[Residuos2]],2)</f>
        <v>2751.9883923581174</v>
      </c>
      <c r="I13" s="15">
        <f>Tabla2[[#This Row],[Residuos2]]-F12</f>
        <v>-130.7348293199999</v>
      </c>
      <c r="J13" s="17">
        <f t="shared" si="2"/>
        <v>17091.595597329506</v>
      </c>
      <c r="L13">
        <f t="shared" si="3"/>
        <v>12583.274815245213</v>
      </c>
      <c r="N13" s="23">
        <f t="shared" ref="N13" si="9">D13-D12*M$20</f>
        <v>121.71101850643277</v>
      </c>
      <c r="O13" s="23">
        <f t="shared" si="7"/>
        <v>321.65546792613509</v>
      </c>
      <c r="P13" s="20" t="s">
        <v>28</v>
      </c>
      <c r="Q13" s="28">
        <f>(R30-26*T4*U4)/(S30-26*POWER(T4,2))</f>
        <v>0.1759626811802088</v>
      </c>
      <c r="R13" s="29">
        <f t="shared" si="4"/>
        <v>39149.014609453116</v>
      </c>
      <c r="S13" s="29">
        <f t="shared" si="5"/>
        <v>103462.24004678092</v>
      </c>
    </row>
    <row r="14" spans="1:21" x14ac:dyDescent="0.2">
      <c r="C14" s="5">
        <v>1103</v>
      </c>
      <c r="D14" s="6">
        <v>884.76</v>
      </c>
      <c r="E14" s="14">
        <v>2001</v>
      </c>
      <c r="F14" s="14">
        <f t="shared" si="0"/>
        <v>67.056368770000063</v>
      </c>
      <c r="G14" s="14">
        <f t="shared" si="1"/>
        <v>117.76538367000012</v>
      </c>
      <c r="H14" s="15">
        <f>POWER(Tabla2[[#This Row],[Residuos2]],2)</f>
        <v>4496.5565926182398</v>
      </c>
      <c r="I14" s="15">
        <f>Tabla2[[#This Row],[Residuos2]]-F13</f>
        <v>119.51576632999991</v>
      </c>
      <c r="J14" s="17">
        <f t="shared" si="2"/>
        <v>14284.01840144714</v>
      </c>
      <c r="L14">
        <f t="shared" si="3"/>
        <v>9930.5413135638155</v>
      </c>
      <c r="N14" s="23">
        <f t="shared" ref="N14" si="10">D14-M$20*D13</f>
        <v>342.25651648058681</v>
      </c>
      <c r="O14" s="23">
        <f t="shared" si="7"/>
        <v>371.2011985611548</v>
      </c>
      <c r="R14" s="29">
        <f t="shared" si="4"/>
        <v>127046.02913295945</v>
      </c>
      <c r="S14" s="29">
        <f t="shared" si="5"/>
        <v>137790.32981323788</v>
      </c>
    </row>
    <row r="15" spans="1:21" x14ac:dyDescent="0.2">
      <c r="C15" s="3">
        <v>1213</v>
      </c>
      <c r="D15" s="4">
        <v>950.71</v>
      </c>
      <c r="E15" s="14">
        <v>2002</v>
      </c>
      <c r="F15" s="14">
        <f t="shared" si="0"/>
        <v>117.76538367000012</v>
      </c>
      <c r="G15" s="14">
        <f t="shared" si="1"/>
        <v>70.706439810000006</v>
      </c>
      <c r="H15" s="15">
        <f>POWER(Tabla2[[#This Row],[Residuos2]],2)</f>
        <v>13868.68559094233</v>
      </c>
      <c r="I15" s="15">
        <f>Tabla2[[#This Row],[Residuos2]]-F14</f>
        <v>50.709014900000057</v>
      </c>
      <c r="J15" s="17">
        <f t="shared" si="2"/>
        <v>2571.4041921284279</v>
      </c>
      <c r="L15">
        <f t="shared" si="3"/>
        <v>3907.0257223408057</v>
      </c>
      <c r="N15" s="23">
        <f t="shared" ref="N15" si="11">D15-D14*M$20</f>
        <v>313.44001224307817</v>
      </c>
      <c r="O15" s="23">
        <f t="shared" si="7"/>
        <v>418.53732481589941</v>
      </c>
      <c r="R15" s="29">
        <f t="shared" si="4"/>
        <v>131186.34421448069</v>
      </c>
      <c r="S15" s="29">
        <f t="shared" si="5"/>
        <v>175173.49226404968</v>
      </c>
    </row>
    <row r="16" spans="1:21" x14ac:dyDescent="0.2">
      <c r="C16" s="5">
        <v>1359</v>
      </c>
      <c r="D16" s="6">
        <v>923.88</v>
      </c>
      <c r="E16" s="14">
        <v>2003</v>
      </c>
      <c r="F16" s="14">
        <f t="shared" si="0"/>
        <v>70.706439810000006</v>
      </c>
      <c r="G16" s="14">
        <f t="shared" si="1"/>
        <v>-109.59876292999991</v>
      </c>
      <c r="H16" s="15">
        <f>POWER(Tabla2[[#This Row],[Residuos2]],2)</f>
        <v>4999.4006306051533</v>
      </c>
      <c r="I16" s="15">
        <f>Tabla2[[#This Row],[Residuos2]]-F15</f>
        <v>-47.058943860000113</v>
      </c>
      <c r="J16" s="17">
        <f t="shared" si="2"/>
        <v>2214.5441972186422</v>
      </c>
      <c r="L16">
        <f t="shared" si="3"/>
        <v>555.77532350676506</v>
      </c>
      <c r="N16" s="23">
        <f t="shared" ref="N16" si="12">D16-M$20*D15</f>
        <v>239.107914846531</v>
      </c>
      <c r="O16" s="23">
        <f t="shared" si="7"/>
        <v>485.30713962074879</v>
      </c>
      <c r="R16" s="29">
        <f t="shared" si="4"/>
        <v>116040.77821485154</v>
      </c>
      <c r="S16" s="29">
        <f t="shared" si="5"/>
        <v>235523.01976687295</v>
      </c>
    </row>
    <row r="17" spans="3:19" x14ac:dyDescent="0.2">
      <c r="C17" s="3">
        <v>1473</v>
      </c>
      <c r="D17" s="4">
        <v>759.37</v>
      </c>
      <c r="E17" s="14">
        <v>2004</v>
      </c>
      <c r="F17" s="14">
        <f t="shared" si="0"/>
        <v>-109.59876292999991</v>
      </c>
      <c r="G17" s="14">
        <f t="shared" si="1"/>
        <v>-83.798064179999983</v>
      </c>
      <c r="H17" s="15">
        <f>POWER(Tabla2[[#This Row],[Residuos2]],2)</f>
        <v>12011.888835786322</v>
      </c>
      <c r="I17" s="15">
        <f>Tabla2[[#This Row],[Residuos2]]-F16</f>
        <v>-180.30520273999991</v>
      </c>
      <c r="J17" s="17">
        <f t="shared" si="2"/>
        <v>32509.966135112471</v>
      </c>
      <c r="L17">
        <f t="shared" si="3"/>
        <v>29007.343638598457</v>
      </c>
      <c r="N17" s="23">
        <f t="shared" ref="N17" si="13">D17-D16*M$20</f>
        <v>93.922877290039082</v>
      </c>
      <c r="O17" s="23">
        <f t="shared" si="7"/>
        <v>494.14707563445802</v>
      </c>
      <c r="R17" s="29">
        <f t="shared" si="4"/>
        <v>46411.71514804686</v>
      </c>
      <c r="S17" s="29">
        <f t="shared" si="5"/>
        <v>244181.33235808677</v>
      </c>
    </row>
    <row r="18" spans="3:19" x14ac:dyDescent="0.2">
      <c r="C18" s="5">
        <v>1598</v>
      </c>
      <c r="D18" s="6">
        <v>802.49</v>
      </c>
      <c r="E18" s="14">
        <v>2005</v>
      </c>
      <c r="F18" s="14">
        <f t="shared" si="0"/>
        <v>-83.798064179999983</v>
      </c>
      <c r="G18" s="14">
        <f t="shared" si="1"/>
        <v>62.999369969999975</v>
      </c>
      <c r="H18" s="15">
        <f>POWER(Tabla2[[#This Row],[Residuos2]],2)</f>
        <v>7022.1155603153966</v>
      </c>
      <c r="I18" s="15">
        <f>Tabla2[[#This Row],[Residuos2]]-F17</f>
        <v>25.800698749999924</v>
      </c>
      <c r="J18" s="17">
        <f t="shared" si="2"/>
        <v>665.67605598824764</v>
      </c>
      <c r="L18">
        <f t="shared" si="3"/>
        <v>264.05906451652538</v>
      </c>
      <c r="N18" s="23">
        <f>D18-M$20*D17</f>
        <v>255.53522062144111</v>
      </c>
      <c r="O18" s="23">
        <f>C18-M$20*C17</f>
        <v>537.03579279584756</v>
      </c>
      <c r="R18" s="29">
        <f t="shared" si="4"/>
        <v>137231.55979369744</v>
      </c>
      <c r="S18" s="29">
        <f t="shared" si="5"/>
        <v>288407.44274386449</v>
      </c>
    </row>
    <row r="19" spans="3:19" x14ac:dyDescent="0.2">
      <c r="C19" s="3">
        <v>1783</v>
      </c>
      <c r="D19" s="4">
        <v>974.92</v>
      </c>
      <c r="E19" s="14">
        <v>2006</v>
      </c>
      <c r="F19" s="14">
        <f t="shared" si="0"/>
        <v>62.999369969999975</v>
      </c>
      <c r="G19" s="14">
        <f t="shared" si="1"/>
        <v>-46.109947309999939</v>
      </c>
      <c r="H19" s="15">
        <f>POWER(Tabla2[[#This Row],[Residuos2]],2)</f>
        <v>3968.9206166169347</v>
      </c>
      <c r="I19" s="15">
        <f>Tabla2[[#This Row],[Residuos2]]-F18</f>
        <v>146.79743414999996</v>
      </c>
      <c r="J19" s="17">
        <f t="shared" si="2"/>
        <v>21549.486673023574</v>
      </c>
      <c r="L19">
        <f t="shared" si="3"/>
        <v>11753.043392620195</v>
      </c>
      <c r="M19" s="27" t="s">
        <v>34</v>
      </c>
      <c r="N19" s="26">
        <f t="shared" ref="N19" si="14">D19-D18*M$20</f>
        <v>396.90698802494205</v>
      </c>
      <c r="O19" s="23">
        <f t="shared" si="7"/>
        <v>632.00149143772182</v>
      </c>
      <c r="R19" s="29">
        <f t="shared" si="4"/>
        <v>250845.80839381737</v>
      </c>
      <c r="S19" s="29">
        <f t="shared" si="5"/>
        <v>399425.88517950475</v>
      </c>
    </row>
    <row r="20" spans="3:19" x14ac:dyDescent="0.2">
      <c r="C20" s="5">
        <v>1991</v>
      </c>
      <c r="D20" s="6">
        <v>894.63</v>
      </c>
      <c r="E20" s="14">
        <v>2007</v>
      </c>
      <c r="F20" s="14">
        <f t="shared" si="0"/>
        <v>-46.109947309999939</v>
      </c>
      <c r="G20" s="14">
        <f t="shared" si="1"/>
        <v>-156.39553949999993</v>
      </c>
      <c r="H20" s="15">
        <f>POWER(Tabla2[[#This Row],[Residuos2]],2)</f>
        <v>2126.1272409309704</v>
      </c>
      <c r="I20" s="15">
        <f>Tabla2[[#This Row],[Residuos2]]-F19</f>
        <v>-109.10931727999991</v>
      </c>
      <c r="J20" s="17">
        <f t="shared" si="2"/>
        <v>11904.843117307688</v>
      </c>
      <c r="L20">
        <f t="shared" si="3"/>
        <v>11930.873543468015</v>
      </c>
      <c r="M20" s="27">
        <v>0.7202744108650051</v>
      </c>
      <c r="N20" s="26">
        <f t="shared" ref="N20" si="15">D20-M$20*D19</f>
        <v>192.42007135948927</v>
      </c>
      <c r="O20" s="23">
        <f t="shared" si="7"/>
        <v>706.7507254276959</v>
      </c>
      <c r="P20">
        <v>-1</v>
      </c>
      <c r="Q20">
        <v>1</v>
      </c>
      <c r="R20" s="29">
        <f t="shared" si="4"/>
        <v>135993.02502016805</v>
      </c>
      <c r="S20" s="29">
        <f t="shared" si="5"/>
        <v>499496.58789257437</v>
      </c>
    </row>
    <row r="21" spans="3:19" x14ac:dyDescent="0.2">
      <c r="C21" s="3">
        <v>2250</v>
      </c>
      <c r="D21" s="4">
        <v>820.23</v>
      </c>
      <c r="E21" s="14">
        <v>2008</v>
      </c>
      <c r="F21" s="14">
        <f t="shared" si="0"/>
        <v>-156.39553949999993</v>
      </c>
      <c r="G21" s="14">
        <f t="shared" si="1"/>
        <v>-167.97257728</v>
      </c>
      <c r="H21" s="15">
        <f>POWER(Tabla2[[#This Row],[Residuos2]],2)</f>
        <v>24459.564775496037</v>
      </c>
      <c r="I21" s="15">
        <f>Tabla2[[#This Row],[Residuos2]]-F20</f>
        <v>-110.28559218999999</v>
      </c>
      <c r="J21" s="17">
        <f t="shared" si="2"/>
        <v>12162.911844698987</v>
      </c>
      <c r="L21">
        <f t="shared" si="3"/>
        <v>21027.849485025119</v>
      </c>
      <c r="M21" s="18"/>
      <c r="N21" s="23">
        <f t="shared" ref="N21" si="16">D21-D20*M$20</f>
        <v>175.8509038078405</v>
      </c>
      <c r="O21" s="23">
        <f t="shared" si="7"/>
        <v>815.93364796777496</v>
      </c>
      <c r="R21" s="29">
        <f t="shared" si="4"/>
        <v>143482.66944236157</v>
      </c>
      <c r="S21" s="29">
        <f t="shared" si="5"/>
        <v>665747.71788600087</v>
      </c>
    </row>
    <row r="22" spans="3:19" x14ac:dyDescent="0.2">
      <c r="C22" s="5">
        <v>2508</v>
      </c>
      <c r="D22" s="6">
        <v>844.4</v>
      </c>
      <c r="E22" s="14">
        <v>2009</v>
      </c>
      <c r="F22" s="14">
        <f t="shared" si="0"/>
        <v>-167.97257728</v>
      </c>
      <c r="G22" s="14">
        <f t="shared" si="1"/>
        <v>-151.99876512000003</v>
      </c>
      <c r="H22" s="15">
        <f>POWER(Tabla2[[#This Row],[Residuos2]],2)</f>
        <v>28214.786718085572</v>
      </c>
      <c r="I22" s="15">
        <f>Tabla2[[#This Row],[Residuos2]]-F21</f>
        <v>-11.577037780000069</v>
      </c>
      <c r="J22" s="17">
        <f t="shared" si="2"/>
        <v>134.02780375954893</v>
      </c>
      <c r="L22">
        <f t="shared" si="3"/>
        <v>6371.8317305357914</v>
      </c>
      <c r="N22" s="23">
        <f t="shared" ref="N22" si="17">D22-M$20*D21</f>
        <v>253.60931997619684</v>
      </c>
      <c r="O22" s="23">
        <f t="shared" si="7"/>
        <v>887.38257555373843</v>
      </c>
      <c r="R22" s="29">
        <f t="shared" si="4"/>
        <v>225048.49154490972</v>
      </c>
      <c r="S22" s="29">
        <f t="shared" si="5"/>
        <v>787447.83539638633</v>
      </c>
    </row>
    <row r="23" spans="3:19" x14ac:dyDescent="0.2">
      <c r="C23" s="3">
        <v>2732</v>
      </c>
      <c r="D23" s="4">
        <v>891.41</v>
      </c>
      <c r="E23" s="14">
        <v>2010</v>
      </c>
      <c r="F23" s="14">
        <f t="shared" si="0"/>
        <v>-151.99876512000003</v>
      </c>
      <c r="G23" s="14">
        <f t="shared" si="1"/>
        <v>-154.96473073000004</v>
      </c>
      <c r="H23" s="15">
        <f>POWER(Tabla2[[#This Row],[Residuos2]],2)</f>
        <v>23103.624598004939</v>
      </c>
      <c r="I23" s="15">
        <f>Tabla2[[#This Row],[Residuos2]]-F22</f>
        <v>15.973812159999966</v>
      </c>
      <c r="J23" s="17">
        <f t="shared" si="2"/>
        <v>255.16267492296276</v>
      </c>
      <c r="L23">
        <f t="shared" si="3"/>
        <v>3242.0658697328477</v>
      </c>
      <c r="N23" s="23">
        <f t="shared" ref="N23" si="18">D23-D22*M$20</f>
        <v>283.21028746558966</v>
      </c>
      <c r="O23" s="23">
        <f t="shared" si="7"/>
        <v>925.55177755056729</v>
      </c>
      <c r="R23" s="29">
        <f t="shared" si="4"/>
        <v>262125.78498438364</v>
      </c>
      <c r="S23" s="29">
        <f t="shared" si="5"/>
        <v>856646.0929270148</v>
      </c>
    </row>
    <row r="24" spans="3:19" x14ac:dyDescent="0.2">
      <c r="C24" s="5">
        <v>3053</v>
      </c>
      <c r="D24" s="6">
        <v>932.92</v>
      </c>
      <c r="E24" s="14">
        <v>2011</v>
      </c>
      <c r="F24" s="14">
        <f t="shared" si="0"/>
        <v>-154.96473073000004</v>
      </c>
      <c r="G24" s="14">
        <f t="shared" si="1"/>
        <v>-219.18137906000004</v>
      </c>
      <c r="H24" s="15">
        <f>POWER(Tabla2[[#This Row],[Residuos2]],2)</f>
        <v>24014.06777022142</v>
      </c>
      <c r="I24" s="15">
        <f>Tabla2[[#This Row],[Residuos2]]-F23</f>
        <v>-2.965965610000012</v>
      </c>
      <c r="J24" s="17">
        <f t="shared" si="2"/>
        <v>8.7969519997027437</v>
      </c>
      <c r="L24">
        <f t="shared" si="3"/>
        <v>5988.1573547886037</v>
      </c>
      <c r="N24" s="23">
        <f t="shared" ref="N24" si="19">D24-M$20*D23</f>
        <v>290.8601874108258</v>
      </c>
      <c r="O24" s="23">
        <f t="shared" si="7"/>
        <v>1085.2103095168061</v>
      </c>
      <c r="R24" s="29">
        <f t="shared" si="4"/>
        <v>315644.47400621849</v>
      </c>
      <c r="S24" s="29">
        <f t="shared" si="5"/>
        <v>1177681.415881562</v>
      </c>
    </row>
    <row r="25" spans="3:19" x14ac:dyDescent="0.2">
      <c r="C25" s="3">
        <v>3166</v>
      </c>
      <c r="D25" s="4">
        <v>884.36</v>
      </c>
      <c r="E25" s="14">
        <v>2012</v>
      </c>
      <c r="F25" s="14">
        <f t="shared" si="0"/>
        <v>-219.18137906000004</v>
      </c>
      <c r="G25" s="14">
        <f t="shared" si="1"/>
        <v>53.545562539999992</v>
      </c>
      <c r="H25" s="15">
        <f>POWER(Tabla2[[#This Row],[Residuos2]],2)</f>
        <v>48040.476926643423</v>
      </c>
      <c r="I25" s="15">
        <f>Tabla2[[#This Row],[Residuos2]]-F24</f>
        <v>-64.216648329999998</v>
      </c>
      <c r="J25" s="17">
        <f t="shared" si="2"/>
        <v>4123.7779227388919</v>
      </c>
      <c r="L25">
        <f t="shared" si="3"/>
        <v>18236.224084541082</v>
      </c>
      <c r="N25" s="23">
        <f t="shared" ref="N25" si="20">D25-D24*M$20</f>
        <v>212.40159661581947</v>
      </c>
      <c r="O25" s="23">
        <f t="shared" si="7"/>
        <v>967.00222362913928</v>
      </c>
      <c r="R25" s="29">
        <f t="shared" si="4"/>
        <v>205392.81622987689</v>
      </c>
      <c r="S25" s="29">
        <f t="shared" si="5"/>
        <v>935093.30050369992</v>
      </c>
    </row>
    <row r="26" spans="3:19" x14ac:dyDescent="0.2">
      <c r="C26" s="5">
        <v>3406</v>
      </c>
      <c r="D26" s="6">
        <v>1190.3399999999999</v>
      </c>
      <c r="E26" s="14">
        <v>2013</v>
      </c>
      <c r="F26" s="14">
        <f t="shared" si="0"/>
        <v>53.545562539999992</v>
      </c>
      <c r="G26" s="14">
        <f t="shared" si="1"/>
        <v>-8.0554706499999611</v>
      </c>
      <c r="H26" s="15">
        <f>POWER(Tabla2[[#This Row],[Residuos2]],2)</f>
        <v>2867.1272677250504</v>
      </c>
      <c r="I26" s="15">
        <f>Tabla2[[#This Row],[Residuos2]]-F25</f>
        <v>272.72694160000003</v>
      </c>
      <c r="J26" s="17">
        <f t="shared" si="2"/>
        <v>74379.984674489824</v>
      </c>
      <c r="L26">
        <f t="shared" si="3"/>
        <v>31686.028410195042</v>
      </c>
      <c r="N26" s="23">
        <f>D26-M$20*D25</f>
        <v>553.35812200742396</v>
      </c>
      <c r="O26" s="23">
        <f t="shared" si="7"/>
        <v>1125.6112152013939</v>
      </c>
      <c r="R26" s="29">
        <f t="shared" si="4"/>
        <v>622866.10815433762</v>
      </c>
      <c r="S26" s="29">
        <f t="shared" si="5"/>
        <v>1267000.6077871586</v>
      </c>
    </row>
    <row r="27" spans="3:19" x14ac:dyDescent="0.2">
      <c r="C27" s="3">
        <v>3765</v>
      </c>
      <c r="D27" s="4">
        <v>1178.48</v>
      </c>
      <c r="E27" s="14">
        <v>2014</v>
      </c>
      <c r="F27" s="14">
        <f t="shared" si="0"/>
        <v>-8.0554706499999611</v>
      </c>
      <c r="G27" s="14">
        <f t="shared" si="1"/>
        <v>109.41135182000016</v>
      </c>
      <c r="H27" s="15">
        <f>POWER(Tabla2[[#This Row],[Residuos2]],2)</f>
        <v>64.890607393010796</v>
      </c>
      <c r="I27" s="15">
        <f>Tabla2[[#This Row],[Residuos2]]-F26</f>
        <v>-61.601033189999953</v>
      </c>
      <c r="J27" s="17">
        <f t="shared" si="2"/>
        <v>3794.6872900754756</v>
      </c>
      <c r="L27">
        <f t="shared" si="3"/>
        <v>7568.3960797621685</v>
      </c>
      <c r="N27" s="23">
        <f t="shared" ref="N27" si="21">D27-D26*M$20</f>
        <v>321.10855777094991</v>
      </c>
      <c r="O27" s="23">
        <f t="shared" si="7"/>
        <v>1311.7453565937926</v>
      </c>
      <c r="R27" s="29">
        <f t="shared" si="4"/>
        <v>421212.65961857315</v>
      </c>
      <c r="S27" s="29">
        <f t="shared" si="5"/>
        <v>1720675.8805453761</v>
      </c>
    </row>
    <row r="28" spans="3:19" x14ac:dyDescent="0.2">
      <c r="C28" s="5">
        <v>3998</v>
      </c>
      <c r="D28" s="6">
        <v>1328.23</v>
      </c>
      <c r="E28" s="14">
        <v>2015</v>
      </c>
      <c r="F28" s="14">
        <f>D28-(B$2+B$3*C28)</f>
        <v>109.41135182000016</v>
      </c>
      <c r="G28" s="14">
        <f>D29-(B$2+B$3*C29)</f>
        <v>344.70637130999989</v>
      </c>
      <c r="H28" s="15">
        <f>POWER(Tabla2[[#This Row],[Residuos2]],2)</f>
        <v>11970.843907079852</v>
      </c>
      <c r="I28" s="15">
        <f>Tabla2[[#This Row],[Residuos2]]-F27</f>
        <v>117.46682247000012</v>
      </c>
      <c r="J28" s="17">
        <f t="shared" si="2"/>
        <v>13798.454381198526</v>
      </c>
      <c r="L28">
        <f t="shared" si="3"/>
        <v>5745.1532536685827</v>
      </c>
      <c r="N28" s="23">
        <f t="shared" ref="N28" si="22">D28-M$20*D27</f>
        <v>479.40101228380877</v>
      </c>
      <c r="O28" s="23">
        <f t="shared" si="7"/>
        <v>1286.1668430932559</v>
      </c>
      <c r="R28" s="29">
        <f t="shared" si="4"/>
        <v>616589.68654477748</v>
      </c>
      <c r="S28" s="29">
        <f t="shared" si="5"/>
        <v>1654225.148272472</v>
      </c>
    </row>
    <row r="29" spans="3:19" x14ac:dyDescent="0.2">
      <c r="C29" s="3">
        <v>4209</v>
      </c>
      <c r="D29" s="4">
        <v>1592.76</v>
      </c>
      <c r="E29" s="14">
        <v>2016</v>
      </c>
      <c r="F29" s="14">
        <f>D29-(B$2+B$3*C29)</f>
        <v>344.70637130999989</v>
      </c>
      <c r="G29" s="14">
        <f>D30-(B$2+B$3*C30)</f>
        <v>-664.87811699999997</v>
      </c>
      <c r="H29" s="15">
        <f>POWER(Tabla2[[#This Row],[Residuos2]],2)</f>
        <v>118822.48242170752</v>
      </c>
      <c r="I29" s="15">
        <f>Tabla2[[#This Row],[Residuos2]]-F28</f>
        <v>235.29501948999973</v>
      </c>
      <c r="J29" s="17">
        <f t="shared" si="2"/>
        <v>55363.746196799351</v>
      </c>
      <c r="L29">
        <f t="shared" si="3"/>
        <v>50565.761563421343</v>
      </c>
      <c r="N29" s="23">
        <f>D29-D28*M$20</f>
        <v>636.06991925677426</v>
      </c>
      <c r="O29" s="23">
        <f>C29-M$20*C28</f>
        <v>1329.3429053617097</v>
      </c>
      <c r="R29" s="29">
        <f>N29*O29</f>
        <v>845555.03447798837</v>
      </c>
      <c r="S29" s="29">
        <f t="shared" si="5"/>
        <v>1767152.5600355114</v>
      </c>
    </row>
    <row r="30" spans="3:19" x14ac:dyDescent="0.2">
      <c r="F30" s="14"/>
      <c r="H30" s="16">
        <f>SUM(H3:H29)</f>
        <v>430576.55139556114</v>
      </c>
      <c r="J30" s="16">
        <f>SUM(J4:J29)</f>
        <v>302032.47658124554</v>
      </c>
      <c r="R30" s="29">
        <f>SUM(R4:R29)</f>
        <v>5174695.7805383718</v>
      </c>
      <c r="S30" s="29">
        <f>SUM(S4:S29)</f>
        <v>13447623.233379848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R.Lineal</vt:lpstr>
      <vt:lpstr>Análisis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2020-05-02T19:30:56Z</dcterms:created>
  <dcterms:modified xsi:type="dcterms:W3CDTF">2020-05-03T03:26:22Z</dcterms:modified>
</cp:coreProperties>
</file>